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88" yWindow="1608" windowWidth="6168" windowHeight="5568" tabRatio="601" firstSheet="1" activeTab="3"/>
  </bookViews>
  <sheets>
    <sheet name="Прил. 1 Доходы 2017" sheetId="1" r:id="rId1"/>
    <sheet name="Прил. 2 Функциональная 2017" sheetId="2" r:id="rId2"/>
    <sheet name="Прил.3 Ведомственная 2017" sheetId="3" r:id="rId3"/>
    <sheet name="Прил.4 Муницип.программы 2017" sheetId="4" r:id="rId4"/>
    <sheet name="Прил. 5 Источники_2017" sheetId="5" r:id="rId5"/>
  </sheets>
  <definedNames>
    <definedName name="_xlnm.Print_Area" localSheetId="0">'Прил. 1 Доходы 2017'!$A$1:$C$203</definedName>
    <definedName name="_xlnm.Print_Area" localSheetId="1">'Прил. 2 Функциональная 2017'!$A$1:$H$1417</definedName>
    <definedName name="_xlnm.Print_Area" localSheetId="4">'Прил. 5 Источники_2017'!$A$1:$C$91</definedName>
    <definedName name="_xlnm.Print_Area" localSheetId="2">'Прил.3 Ведомственная 2017'!$A$1:$G$1472</definedName>
    <definedName name="_xlnm.Print_Area" localSheetId="3">'Прил.4 Муницип.программы 2017'!$A$1:$D$1201</definedName>
  </definedNames>
  <calcPr fullCalcOnLoad="1"/>
</workbook>
</file>

<file path=xl/comments2.xml><?xml version="1.0" encoding="utf-8"?>
<comments xmlns="http://schemas.openxmlformats.org/spreadsheetml/2006/main">
  <authors>
    <author>Nikolaeva</author>
  </authors>
  <commentList>
    <comment ref="F573" authorId="0">
      <text>
        <r>
          <rPr>
            <b/>
            <sz val="8"/>
            <rFont val="Tahoma"/>
            <family val="2"/>
          </rPr>
          <t>Nikolaeva:</t>
        </r>
        <r>
          <rPr>
            <sz val="8"/>
            <rFont val="Tahoma"/>
            <family val="2"/>
          </rPr>
          <t xml:space="preserve">
ВКД-10120; ливневка 3000
</t>
        </r>
      </text>
    </comment>
  </commentList>
</comments>
</file>

<file path=xl/comments3.xml><?xml version="1.0" encoding="utf-8"?>
<comments xmlns="http://schemas.openxmlformats.org/spreadsheetml/2006/main">
  <authors>
    <author>Nikolaeva</author>
  </authors>
  <commentList>
    <comment ref="G1032" authorId="0">
      <text>
        <r>
          <rPr>
            <b/>
            <sz val="8"/>
            <rFont val="Tahoma"/>
            <family val="2"/>
          </rPr>
          <t>Nikolaeva:</t>
        </r>
        <r>
          <rPr>
            <sz val="8"/>
            <rFont val="Tahoma"/>
            <family val="2"/>
          </rPr>
          <t xml:space="preserve">
ВКД-10120; ливневка 3000
</t>
        </r>
      </text>
    </comment>
  </commentList>
</comments>
</file>

<file path=xl/comments5.xml><?xml version="1.0" encoding="utf-8"?>
<comments xmlns="http://schemas.openxmlformats.org/spreadsheetml/2006/main">
  <authors>
    <author>Nikolaeva</author>
  </authors>
  <commentList>
    <comment ref="C47" authorId="0">
      <text>
        <r>
          <rPr>
            <b/>
            <sz val="8"/>
            <rFont val="Tahoma"/>
            <family val="2"/>
          </rPr>
          <t>Nikolaeva:</t>
        </r>
        <r>
          <rPr>
            <sz val="8"/>
            <rFont val="Tahoma"/>
            <family val="2"/>
          </rPr>
          <t xml:space="preserve">
Статья 38</t>
        </r>
      </text>
    </comment>
  </commentList>
</comments>
</file>

<file path=xl/sharedStrings.xml><?xml version="1.0" encoding="utf-8"?>
<sst xmlns="http://schemas.openxmlformats.org/spreadsheetml/2006/main" count="17949" uniqueCount="1820">
  <si>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</si>
  <si>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</si>
  <si>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Итого по муниципальным программам</t>
  </si>
  <si>
    <t>02 0 00 00000</t>
  </si>
  <si>
    <t>02 2 00 00000</t>
  </si>
  <si>
    <t>02 2 01 00000</t>
  </si>
  <si>
    <t>02 2 01 71010</t>
  </si>
  <si>
    <t>Основное мероприятие "Обеспечение реализации прав граждан на получение общедоступного и бесплатного дошкольного образования"</t>
  </si>
  <si>
    <t>02 1 00 00000</t>
  </si>
  <si>
    <t>02 1 02 00000</t>
  </si>
  <si>
    <t>02 1 02 62140</t>
  </si>
  <si>
    <t>02 0 00  00000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</si>
  <si>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</si>
  <si>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Расходы на обеспечение деятельности бюджетных и автономных дошкольных учреждений</t>
  </si>
  <si>
    <t>02 1 01 00000</t>
  </si>
  <si>
    <t>02 1 01 71200</t>
  </si>
  <si>
    <t>02 1 02 62110</t>
  </si>
  <si>
    <t>02 1 02 62120</t>
  </si>
  <si>
    <t>Субсидии негосударственным дошкольным образовательным учреждениям</t>
  </si>
  <si>
    <t>тыс. руб.</t>
  </si>
  <si>
    <t>Исполнение государственных и муниципальных гарантий в валюте Российской Федерации</t>
  </si>
  <si>
    <t>000 01 05 02 01 00 0000 510</t>
  </si>
  <si>
    <t>017 01 05 02 01 04 0000 510</t>
  </si>
  <si>
    <t>000 01 05 02 00 00 0000 600</t>
  </si>
  <si>
    <t>1 16 90040 04 0000 140</t>
  </si>
  <si>
    <t>ПРОЧИЕ НЕНАЛОГОВЫЕ ДОХОДЫ</t>
  </si>
  <si>
    <t>1 17 00000 00 0000 000</t>
  </si>
  <si>
    <t>Невыясненные поступления</t>
  </si>
  <si>
    <t>1 17 01000 00 0000 180</t>
  </si>
  <si>
    <t>Глава муниципального образования</t>
  </si>
  <si>
    <t>Другие общегосударственные вопросы</t>
  </si>
  <si>
    <t>к Решению Совета депутатов</t>
  </si>
  <si>
    <t>(тыс.руб.)</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</si>
  <si>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</si>
  <si>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</si>
  <si>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Функционирование Правительства РФ, высших исполнительных органов государственной власти субъектов РФ, местных администраций</t>
  </si>
  <si>
    <t>1 05 02010 02 0000 110</t>
  </si>
  <si>
    <t>Государственная пошлина по делам, рассматриваемым в судах общей юрисдикции, мировыми судьями (за исключением  Верховного Суда РФ)</t>
  </si>
  <si>
    <t>310</t>
  </si>
  <si>
    <t>Основное мероприятие "Создание условий для благоустройства территорий муниципальных образований Московской области"</t>
  </si>
  <si>
    <t>02 4 03 00000</t>
  </si>
  <si>
    <t>05 0 00 00000</t>
  </si>
  <si>
    <t>05 2 00 00000</t>
  </si>
  <si>
    <t>05 2 01 00000</t>
  </si>
  <si>
    <t>05 2 01 25080</t>
  </si>
  <si>
    <t>Оценка земельных участков и объектов недвижимости (жилых, нежилых помещений)</t>
  </si>
  <si>
    <t>Прочие расходы, связанные с управление имуществом, находящемся в собственности городского округа</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</si>
  <si>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</si>
  <si>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</si>
  <si>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</si>
  <si>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 xml:space="preserve">1 11 05074 04 0000 120
</t>
  </si>
  <si>
    <t>Субсидии бюджетам на реализацию мероприятий по подготовке и проведению чемпионата мира по футболу в 2018 году в Российской Федерации</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</si>
  <si>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</si>
  <si>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городском округе Домодедово"</t>
  </si>
  <si>
    <t>03 1 04 00000</t>
  </si>
  <si>
    <t>03 1 04 23240</t>
  </si>
  <si>
    <t>03 1 04 26030</t>
  </si>
  <si>
    <t>Предоставление гражданам Российской Федерации, имеющим место жительства в Московской области, субсидий на оплату жилого помещения и коммунальных услуг</t>
  </si>
  <si>
    <t>03 1 04 61410</t>
  </si>
  <si>
    <t>Основное мероприятие "Меры социальной поддержки по зубопротезированию отдельным категориям граждан"</t>
  </si>
  <si>
    <t>03 1 05 26240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</si>
  <si>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</si>
  <si>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БЕЗВОЗМЕЗДНЫЕ ПОСТУПЛЕНИЯ</t>
  </si>
  <si>
    <t>2 00 00000 00 0000 000</t>
  </si>
  <si>
    <t>ПРОЧИЕ БЕЗВОЗМЕЗДНЫЕ ПОСТУПЛЕНИЯ</t>
  </si>
  <si>
    <t>2 07 00000 00 0000 180</t>
  </si>
  <si>
    <t>Акцизы по подакцизным товарам (продукции), производимым на территории Российской Федерации</t>
  </si>
  <si>
    <t>1 03 02000 01 0000 110</t>
  </si>
  <si>
    <t>017 01 05 02 01 04 0000 610</t>
  </si>
  <si>
    <t>000 01 06 00 00 00 0000 000</t>
  </si>
  <si>
    <t>ОБЩЕГОСУДАРСТВЕННЫЕ ВОПРОСЫ</t>
  </si>
  <si>
    <t>Увеличение прочих остатков средств бюджетов</t>
  </si>
  <si>
    <t>ШТРАФЫ, САНКЦИИ, ВОЗМЕЩЕНИЕ УЩЕРБА</t>
  </si>
  <si>
    <t>1 16 00000 00 0000 000</t>
  </si>
  <si>
    <t xml:space="preserve">Денежные взыскания (штрафы) за нарушение законодательства о налогах и сборах </t>
  </si>
  <si>
    <t>1 16 03000 00 0000 140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</si>
  <si>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</si>
  <si>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</si>
  <si>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Устройство детских игровых и спортивных площадок на территории городского округа Домодедово</t>
  </si>
  <si>
    <t>09 3 01 25180</t>
  </si>
  <si>
    <t>1 06 06030 00 0000 110</t>
  </si>
  <si>
    <t>Приложение № 3</t>
  </si>
  <si>
    <t>1 06 06000 00 0000 110</t>
  </si>
  <si>
    <t>Единый налог на вмененный доход для отдельных видов деятельности</t>
  </si>
  <si>
    <t>Мероприятия по организации отдыха детей в каникулярное время за счет средств бюджета городского округа Домодедово</t>
  </si>
  <si>
    <t>Непрограммные расходы бюджета городского округа</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</si>
  <si>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</si>
  <si>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</si>
  <si>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Ведомственная структура</t>
  </si>
  <si>
    <t>Код</t>
  </si>
  <si>
    <t>019</t>
  </si>
  <si>
    <t>Публичные нормативные социальные выплаты гражданам</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</si>
  <si>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</si>
  <si>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</si>
  <si>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Подпрограмма "Энергосбережение в системе уличного освещения на 2015-2020 г."</t>
  </si>
  <si>
    <t>Предоставление бюджетных кредитов юридическим лицам из бюджетов городских округов в валюте Российской Федерации</t>
  </si>
  <si>
    <t>000 01 06 06 00 00 0000 500</t>
  </si>
  <si>
    <t>Предоставление субсидий бюджетным, автономным учреждениям и иным некоммерческим оганизациям</t>
  </si>
  <si>
    <t>Приложение № 10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</si>
  <si>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</si>
  <si>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</si>
  <si>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</si>
  <si>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</si>
  <si>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Основное мероприятие "Ликвидация несанкционированных свалок"</t>
  </si>
  <si>
    <t>06 1 02 00000</t>
  </si>
  <si>
    <t>06 1 02 20050</t>
  </si>
  <si>
    <t>Основное мероприятие "Экологическое образование и воспитание, информирование и пропаганда экологических знаний"</t>
  </si>
  <si>
    <t>06 1 03 00000</t>
  </si>
  <si>
    <t>Экологическое образование и воспитание, информирование и пропаганда экологических знаний</t>
  </si>
  <si>
    <t>06 1 03 24200</t>
  </si>
  <si>
    <t>Основное мероприятие "Охрана водных объектов"</t>
  </si>
  <si>
    <t>Мероприятия по охране водных объектов</t>
  </si>
  <si>
    <t>06 1 04 00000</t>
  </si>
  <si>
    <t>06 1 04 24300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</si>
  <si>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</si>
  <si>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120</t>
  </si>
  <si>
    <t>Основное мероприятие "Реализация комплекса мер для обновления состава и компетенции педагогических работников"</t>
  </si>
  <si>
    <t>Подпрограмма "Энергосбережение и повышение энергетической эффективности в организациях и учреждениях бюджетной сферы на 2015-2020 годы"</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</si>
  <si>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</si>
  <si>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налогам и сборам субъектов РФ)</t>
  </si>
  <si>
    <t>1 09 06000 02 0000 110</t>
  </si>
  <si>
    <t>Налог с продаж</t>
  </si>
  <si>
    <t>1 09 06010 02 0000 110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</si>
  <si>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</si>
  <si>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КУЛЬТУРА, КИНЕМАТОГРАФИЯ</t>
  </si>
  <si>
    <t>расходы для осуществления отдельных государственных полномочий</t>
  </si>
  <si>
    <t>Подпрограмма "Устойчивое развитие сельских территорий на 2014-2020 годы"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</si>
  <si>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</si>
  <si>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11 8 00 00000</t>
  </si>
  <si>
    <t>11 8 01 60690</t>
  </si>
  <si>
    <t>Расходы на обеспечение деятельности бюджетных и автономных учреждений физической культуры и спорта</t>
  </si>
  <si>
    <t>Основное мероприятие «Обеспечение  сохранности  и  использования  документов  архивного фонда»</t>
  </si>
  <si>
    <t>11 8 01 00000</t>
  </si>
  <si>
    <t>11 4 00 00000</t>
  </si>
  <si>
    <t>11 4 01 00000</t>
  </si>
  <si>
    <t>11 4 01 22040</t>
  </si>
  <si>
    <t>99 0 00 00000</t>
  </si>
  <si>
    <t>10 0 00 00000</t>
  </si>
  <si>
    <t>10 2 00 00000</t>
  </si>
  <si>
    <t>10 2 01 00000</t>
  </si>
  <si>
    <t>10 2 01 22060</t>
  </si>
  <si>
    <t>Проведение мероприятий по активной политике занятости граждан</t>
  </si>
  <si>
    <t>Основное мероприятие «Обеспечение деятельности МФЦ»</t>
  </si>
  <si>
    <t xml:space="preserve">Расходы на обеспечение деятельности (оказание услуг) бюджетных учреждений </t>
  </si>
  <si>
    <t>11 2 00 00000</t>
  </si>
  <si>
    <t>Основное мероприятие "Обеспечение безопасности гидротехнических сооружений"</t>
  </si>
  <si>
    <t>06 2 00 00000</t>
  </si>
  <si>
    <t>06 2 01 00000</t>
  </si>
  <si>
    <t>Обеспечение безопасности гидротехнических сооружений</t>
  </si>
  <si>
    <t>06 2 01 24440</t>
  </si>
  <si>
    <t>06 3 00 00000</t>
  </si>
  <si>
    <t>06 3 01 00000</t>
  </si>
  <si>
    <t>06 3 01 24500</t>
  </si>
  <si>
    <t>Налоги на имущество</t>
  </si>
  <si>
    <t>Налог, взимаемый с налогоплательщиков, выбравших в качестве объекта налогообложения доходы</t>
  </si>
  <si>
    <t>1 05 01010 01 0000 110</t>
  </si>
  <si>
    <t>1 05 01011 01 0000 110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</si>
  <si>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</si>
  <si>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Субсидии автономным учреждениям </t>
  </si>
  <si>
    <t>Уменьшение остатков средств финансовых резервов бюджетов, размещенных в ценные бумаги</t>
  </si>
  <si>
    <t>017 01 05 01 02 04 0000 620</t>
  </si>
  <si>
    <t>Денежные взыскания (штрафы) за нарушение бюджетного законодательства  (в части  бюджетов городских округов)</t>
  </si>
  <si>
    <t>1 16 18040 04 0000 140</t>
  </si>
  <si>
    <t>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</si>
  <si>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</si>
  <si>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000 01 06 04 01 00 0000 000</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</si>
  <si>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</si>
  <si>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</si>
  <si>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</si>
  <si>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ГОСУДАРСТВЕННАЯ ПОШЛИНА</t>
  </si>
  <si>
    <t>017 01 06 06 00 04 0000 810</t>
  </si>
  <si>
    <t>Социальные выплаты гражданам, кроме публичных нормативных социальных выплат</t>
  </si>
  <si>
    <t>Прочие местные налоги и сборы</t>
  </si>
  <si>
    <t>1 09 07050 00 0000 110</t>
  </si>
  <si>
    <t>Субвенции бюджетам городских округов на выполнение передаваемых полномочий субъектов РФ</t>
  </si>
  <si>
    <t>14</t>
  </si>
  <si>
    <t>ВСЕГО:</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</si>
  <si>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</si>
  <si>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1 16 06000 01 0000 140</t>
  </si>
  <si>
    <t>Денежные взыскания (штрафы) за нарушение бюджетного законодательства РФ</t>
  </si>
  <si>
    <t>1 16 18000 00 0000 140</t>
  </si>
  <si>
    <t>Целевая субсидия на проведение мероприятий в области спорта,  физической культуры, туризма</t>
  </si>
  <si>
    <t>ВСЕГО РАСХОДОВ</t>
  </si>
  <si>
    <t>Счетная палата городского округа Домодедово Московской области</t>
  </si>
  <si>
    <t>Целевая субсидия на приобретение учебников и учебных пособий, средств обучения, игр, игрушек</t>
  </si>
  <si>
    <t>Прочие субсидии бюджетам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</si>
  <si>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</si>
  <si>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</si>
  <si>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Реализация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</si>
  <si>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t>
  </si>
  <si>
    <t>Осуществление полномочий в решении других общегосударственных вопросов</t>
  </si>
  <si>
    <t>Обеспечение деятельности органов местного самоуправления</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</si>
  <si>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территории городского округа Домодедово"</t>
  </si>
  <si>
    <t>07 0 00 00000</t>
  </si>
  <si>
    <t>07 1 00 00000</t>
  </si>
  <si>
    <t>07 1 01 00000</t>
  </si>
  <si>
    <t>Осуществление мероприятий  по защите и смягчению последствий от чрезвычайных ситуаций природного и техногенного характера</t>
  </si>
  <si>
    <t>07 1 01 22190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</si>
  <si>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</si>
  <si>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</si>
  <si>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</si>
  <si>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Внедрение современных средств наблюдения и оповещения о правонарушениях</t>
  </si>
  <si>
    <t xml:space="preserve">Выполнение работ по обеспечению пожарной безопасности </t>
  </si>
  <si>
    <t>07 5 00 00000</t>
  </si>
  <si>
    <t>07 5 01 00000</t>
  </si>
  <si>
    <t>Проведение мероприятий по обеспечению правопорядка и безопасности граждан</t>
  </si>
  <si>
    <t>07 5 02 25040</t>
  </si>
  <si>
    <t>07 5 02 00000</t>
  </si>
  <si>
    <t>Основное мероприятие «Обеспечение деятельности общественных формирований правоохранительной направленности»</t>
  </si>
  <si>
    <t>07 5 03 00000</t>
  </si>
  <si>
    <t>07 5 03 25050</t>
  </si>
  <si>
    <t>Основное мероприятие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</si>
  <si>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13 0 00 00000</t>
  </si>
  <si>
    <t>13 1 00 00000</t>
  </si>
  <si>
    <t>13 1 01 00000</t>
  </si>
  <si>
    <t>Расходы на организацию транспортного обслуживания населения автомобильным транспортом в соответствии с муниципальными контрактами и договорами на оказание услуг по перевозке пассажиров</t>
  </si>
  <si>
    <t>13 1 01 23010</t>
  </si>
  <si>
    <t>Частичная компенсация транспортных расходов организаций ииндивидуальных предпринимателей по доставке продовольственных и промышленных товаров в сельские населенные пункты</t>
  </si>
  <si>
    <t>10 5 01 00000</t>
  </si>
  <si>
    <t>Основное мероприятие "Создание условий для информационного, методического сопровождения и мониторинга реализации муниципальной программы, в том числе финансового обеспечения деятельности МАУ ДПО "Центр развития образования"</t>
  </si>
  <si>
    <t>02 4 04 00000</t>
  </si>
  <si>
    <t>02 4 04 71520</t>
  </si>
  <si>
    <t>03 1 03 00000</t>
  </si>
  <si>
    <t>03 1 03 21010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</si>
  <si>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</si>
  <si>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субвенции бюджетам городских округов</t>
  </si>
  <si>
    <t>04 1 02 00000</t>
  </si>
  <si>
    <t>Основное мероприятие "Капитальные вложения в объекты физической культуры и спорта, находящиеся в муниципальной собственности (строительство, реконструкция)"</t>
  </si>
  <si>
    <t>04 1 03 64320</t>
  </si>
  <si>
    <t>04 1 03 00000</t>
  </si>
  <si>
    <t>04 1 03 86200</t>
  </si>
  <si>
    <t>Основное мероприятие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 технического переоснащения"</t>
  </si>
  <si>
    <t>04 1 04 00000</t>
  </si>
  <si>
    <t>04 1 04 81100</t>
  </si>
  <si>
    <t>Расходы на приобретение основных средств учреждениями физической культуры и спорта</t>
  </si>
  <si>
    <t xml:space="preserve">Расходы на выполнение ремонтных работ в учрежениях физической культуры и спорта </t>
  </si>
  <si>
    <t>Софинансирование капитального ремонта плоскостнвх сооружений в городском округе Домодедово</t>
  </si>
  <si>
    <t>04 1 04 86820</t>
  </si>
  <si>
    <t>Основное мероприятие "Профессиональная подготовка, переподготовка и повышение квалификации"</t>
  </si>
  <si>
    <t>11 3 00 00000</t>
  </si>
  <si>
    <t>11 6 00 00000</t>
  </si>
  <si>
    <t>11 6 01 00000</t>
  </si>
  <si>
    <t>11 6 01 22040</t>
  </si>
  <si>
    <t>10 5 00 00000</t>
  </si>
  <si>
    <t>10 5 01 23030</t>
  </si>
  <si>
    <t>10 5 01 61100</t>
  </si>
  <si>
    <t>13 2 00 00000</t>
  </si>
  <si>
    <t>13 2 01 00000</t>
  </si>
  <si>
    <t>Основное мероприятие "Повышение уровня безопасности дорожного движения"</t>
  </si>
  <si>
    <t>Мероприятия по безопасности дорожного движения</t>
  </si>
  <si>
    <t>13 2 01 25120</t>
  </si>
  <si>
    <t>Основное мероприятие  "Проектирование, строительство, реконструкция и ремонт муниципальных дорог и тротуаров"</t>
  </si>
  <si>
    <t>Проектирование, строительство, реконструкция и ремонт муниципальных дорог и тротуаров</t>
  </si>
  <si>
    <t>13 3 00 00000</t>
  </si>
  <si>
    <t>13 3 01 00000</t>
  </si>
  <si>
    <t>13 3 01 25200</t>
  </si>
  <si>
    <t>Основное мероприятие "Содержание дорог и тротуаров"</t>
  </si>
  <si>
    <t>Содержание дорог и тротуаров</t>
  </si>
  <si>
    <t>13 3 02 00000</t>
  </si>
  <si>
    <t>13 3 02 25210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</si>
  <si>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</si>
  <si>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Выплата единовременной материальной помощи участникам ВОВ к дню Победы (включая вдов)*</t>
  </si>
  <si>
    <t>Выплата единовременной материальной помощи гражданам, находящимся в трудной жизненной ситуации*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</si>
  <si>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</si>
  <si>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1 12 01000 01 0000 120</t>
  </si>
  <si>
    <t>Основное мероприятие "Ремонт дворовых территорий многоквартирных жилых домов и подъездов к дворовым территориям многоквартирных жилых домов"</t>
  </si>
  <si>
    <t>Ремонт дворовых территорий многоквартирных жилых домов и подъездов к дворовым территориям многоквартирных жилых домов</t>
  </si>
  <si>
    <t>13 4 00 00000</t>
  </si>
  <si>
    <t>13 4 01 00000</t>
  </si>
  <si>
    <t>Транспортировка в морг умерших, не имеющих супруга, близких и иных родственников, а также умерших других категорий для производства судебно-медицинской экспертизы</t>
  </si>
  <si>
    <t>09 0 00 00000</t>
  </si>
  <si>
    <t>09 2 00 00000</t>
  </si>
  <si>
    <t>09 2 01 00000</t>
  </si>
  <si>
    <t>09 2 01 20110</t>
  </si>
  <si>
    <t>10 1 00 00000</t>
  </si>
  <si>
    <t>Установка приборов учета энергетических ресурсов с автоматическим регулированием по параметрам наружного воздуха</t>
  </si>
  <si>
    <t>Целевая субсидия на установку узлов учета тепловой энергии в МБУ "ЦКД "Импульс"</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</si>
  <si>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</si>
  <si>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</si>
  <si>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</si>
  <si>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</si>
  <si>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Единый налог на вмененный доход для отдельных видов деятельности (за налоговые периоды, истекшие до 1 января 2011 года)</t>
  </si>
  <si>
    <t>1 05 02020 02 0000 110</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</si>
  <si>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</si>
  <si>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</si>
  <si>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</si>
  <si>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</si>
  <si>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2 07 04000 04 0000 180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</si>
  <si>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</si>
  <si>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Доходы  от продажи квартир, находящихся в собственности городских округов</t>
  </si>
  <si>
    <t>1 14 01040 04 0000 410</t>
  </si>
  <si>
    <t>1 14 02000 00 0000 000</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</si>
  <si>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</si>
  <si>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</si>
  <si>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</si>
  <si>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Основное мероприятие "Создание условий для реализации муниципальной программы, в том числе выполнение функций Управления образования</t>
  </si>
  <si>
    <t>02 4 01 00000</t>
  </si>
  <si>
    <t>02 4 01 22040</t>
  </si>
  <si>
    <t>Основное мероприятие "Создание условий для реализации муниципальной программы, том числе финансовое обеспечение деятельности МБУ "Центр бухгалтерского обслуживания учреждений образования", МБУ "ЭРИС"</t>
  </si>
  <si>
    <t>02 4 02 00000</t>
  </si>
  <si>
    <t>02 4 02 71520</t>
  </si>
  <si>
    <t>13 3 01 25240</t>
  </si>
  <si>
    <t>13 3 01 25230</t>
  </si>
  <si>
    <t>12 2 03 20060</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</si>
  <si>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</si>
  <si>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Предоставление  бюджетных кредитов  внутри страны в валюте Российской Федерации</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</si>
  <si>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</si>
  <si>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1 11 05020 00 0000 120</t>
  </si>
  <si>
    <t>Денежные взыскания (штрафы) за нарушение земельного законодательства</t>
  </si>
  <si>
    <t>Подпрограмма "Обеспечение безопасности гидротехнических сооружений городского округа Домодедово на 2015-2019 годы"</t>
  </si>
  <si>
    <t>Основное мероприятие "Реконструкция котельных и строительство сетей тепло-, водоснабжения, водоотведения, очистных сооружений"</t>
  </si>
  <si>
    <t>Реконструкция котельных: котельная "КШФ" микрорайон "Западный", котельная "Речная", микрорайон "Северный"</t>
  </si>
  <si>
    <t>Основное мероприятие "Реализация мероприятий, направленных на профилактику правонарушений и формирование навыков законопослушного гражданина"</t>
  </si>
  <si>
    <t>Основное мероприятие "Создание условий для реализации муниципальной программы, в том числе финансовое обеспечение деятельности МБУ "Центр бухгалтерского обслуживания учреждений образования", МБУ "ЭРИС"</t>
  </si>
  <si>
    <t>Выплата единовременной материальной помощи гражданам, пострадавшим от политических репрессий*</t>
  </si>
  <si>
    <t>Молодежная политика и оздоровление детей</t>
  </si>
  <si>
    <t>1 11 00000 00 0000 000</t>
  </si>
  <si>
    <t>Общее образование</t>
  </si>
  <si>
    <t>Целевая субсидия на мероприятия в сфере культуры</t>
  </si>
  <si>
    <t xml:space="preserve">Прочие неналоговые доходы </t>
  </si>
  <si>
    <t xml:space="preserve">Размешение социальной рекламы в печатных и электронных средствах массовой информации </t>
  </si>
  <si>
    <t>12 2 01 22070</t>
  </si>
  <si>
    <t>Основное мероприятие "Улучшение жилищных условий граждан, проживающих в сельской местности, в том числе молодых семей и молодых специалистов"</t>
  </si>
  <si>
    <t>Материальная помощь работникам анестизиолого-реанимационных отделений ГБУЗ МО "ДЦГБ"</t>
  </si>
  <si>
    <t>03 3 00 00000</t>
  </si>
  <si>
    <t>Основное мероприятие "Социальная поддержка беременных женщин, кормящих матерей, детей в возрасте до трех лет</t>
  </si>
  <si>
    <t>03 3 04 00000</t>
  </si>
  <si>
    <t>03 3 04 62080</t>
  </si>
  <si>
    <t>08 1 00 00000</t>
  </si>
  <si>
    <t>08 1 01 00000</t>
  </si>
  <si>
    <t>08 2 00 00000</t>
  </si>
  <si>
    <t>08 2 01 00000</t>
  </si>
  <si>
    <t>Создание комплексной системы экстренного оповещения населения при чрезвычайных ситуациях или об угрозе возникновения чрезвычайных ситуаций</t>
  </si>
  <si>
    <t>07 2 00 00000</t>
  </si>
  <si>
    <t>07 2 01 00000</t>
  </si>
  <si>
    <t>07 2 01 22200</t>
  </si>
  <si>
    <t>Создание запасов материально-технических, продовольственных,
медицинских и иных средств в целях гражданской обороны</t>
  </si>
  <si>
    <t>07 4 00 00000</t>
  </si>
  <si>
    <t>07 4 01 00000</t>
  </si>
  <si>
    <t>07 4 01 22210</t>
  </si>
  <si>
    <t>07 3 00 00000</t>
  </si>
  <si>
    <t>07 3 01 00000</t>
  </si>
  <si>
    <t>07 3 01 22470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</si>
  <si>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</si>
  <si>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1 05 04000 02 0000 110</t>
  </si>
  <si>
    <t>Субвенции бюджетам субъектов РФ и муниципальных образований</t>
  </si>
  <si>
    <t>Код ФКР</t>
  </si>
  <si>
    <t>Резервные фонды</t>
  </si>
  <si>
    <t>Пособия, компенсации, меры социальной поддержки по публичным нормативным обязательствам</t>
  </si>
  <si>
    <t>730</t>
  </si>
  <si>
    <t>Основное мероприятие "Обеспечение выполнения  функций муниципального парка"</t>
  </si>
  <si>
    <t>Расходы на обеспечение деятельности парка культуры и отдыха</t>
  </si>
  <si>
    <t>Основное мероприятие "Организация библиотечного обслуживания населения муниципальными библиотеками городского округа Домодедово"</t>
  </si>
  <si>
    <t>Расходы на обеспечение деятельности библиотек и организацию библиотечного обслуживания населения</t>
  </si>
  <si>
    <t>01 1 00 00000</t>
  </si>
  <si>
    <t>01 1 01 00000</t>
  </si>
  <si>
    <t>01 1 01 84420</t>
  </si>
  <si>
    <t>Основное мероприятие "Выполнение текущего и капитального ремонта учреждений культуры городского округа Домодедово"</t>
  </si>
  <si>
    <t>01 3 00 00000</t>
  </si>
  <si>
    <t>01 3 01 00000</t>
  </si>
  <si>
    <t>Расходы на выполнение ремонтных работ в учреждениях культуры</t>
  </si>
  <si>
    <t>01 0 00 00000</t>
  </si>
  <si>
    <t>Основное мероприятие "Обеспечение выполнения функций муниципального бюджетного учреждения "ЦОУ"</t>
  </si>
  <si>
    <t>Основное  мероприятие "Проведение массовых, официальных физкультурных и спортивных мероприятий"</t>
  </si>
  <si>
    <t>04 1 01 00000</t>
  </si>
  <si>
    <t>04 1 00 00000</t>
  </si>
  <si>
    <t>Расходы на проведение массовых, официальных физкультурных и спортивных мероприятий среди различных групп населения городского округа Домодедово</t>
  </si>
  <si>
    <t>04 1 01 85820</t>
  </si>
  <si>
    <t>Основное мероприятие "Обеспечение выполнения функций муниципальных бюджетных и автономных учреждений физической культуры и спорта"</t>
  </si>
  <si>
    <t>04 1 02 84810</t>
  </si>
  <si>
    <t>Коммунальное хозяйство</t>
  </si>
  <si>
    <t>Субсидии бюджетным учреждениям</t>
  </si>
  <si>
    <t>014</t>
  </si>
  <si>
    <t>Погашение обязательств за счет прочих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</si>
  <si>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</si>
  <si>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</si>
  <si>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</si>
  <si>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территории от чрезвычайных ситуаций природного и техногенного характера, гражданская оборона</t>
  </si>
  <si>
    <t xml:space="preserve">ЗАДОЛЖЕННОСТЬ И ПЕРЕРАСЧЕТЫ ПО ОТМЕНЕННЫМ НАЛОГАМ, СБОРАМ И ИНЫМ ОБЯЗАТЕЛЬНЫМ ПЛАТЕЖАМ </t>
  </si>
  <si>
    <t>11 7 00 00000</t>
  </si>
  <si>
    <t>11 7 01 00000</t>
  </si>
  <si>
    <t>11 7 01 22990</t>
  </si>
  <si>
    <t>11 1 00 00000</t>
  </si>
  <si>
    <t>11 1 01 00000</t>
  </si>
  <si>
    <t>11 1 01 20990</t>
  </si>
  <si>
    <t>Расходы на обеспечение и развитие информационно-коммунакационных технологий</t>
  </si>
  <si>
    <t>11 1 02 00000</t>
  </si>
  <si>
    <t>11 1 02 20990</t>
  </si>
  <si>
    <t>11 1 03 00000</t>
  </si>
  <si>
    <t>11 1 03 20990</t>
  </si>
  <si>
    <t>11 1 04 20990</t>
  </si>
  <si>
    <t xml:space="preserve">Единый сельскохозяйственный налог </t>
  </si>
  <si>
    <t>1 00 00000 00 0000 000</t>
  </si>
  <si>
    <t xml:space="preserve">НАЛОГИ НА ПРИБЫЛЬ, ДОХОДЫ </t>
  </si>
  <si>
    <t>1 01 00000 00 0000 000</t>
  </si>
  <si>
    <t>Субсидии бюджетам городских округов на реализацию федеральных целевых программ</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</si>
  <si>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</si>
  <si>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Выплата единовременной материальной помощи участникам Сталинградской битвы*</t>
  </si>
  <si>
    <t>Прочие местные налоги и сборы, мобилизуемые на территориях городских округов</t>
  </si>
  <si>
    <t>320</t>
  </si>
  <si>
    <t>Проведение муниципальных выборов</t>
  </si>
  <si>
    <t>Денежные взыскания (штрафы) за нарушение законодательства  об охране и использовании животного мира</t>
  </si>
  <si>
    <t>1 16 25030 01 0000 140</t>
  </si>
  <si>
    <t>Прочие источники внутреннего финансирования дефицитов бюджетов</t>
  </si>
  <si>
    <t>Налог на рекламу, мобилизуемый на территориях городских округов</t>
  </si>
  <si>
    <t>02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</si>
  <si>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</si>
  <si>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</si>
  <si>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</si>
  <si>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Софинансирование расходов за счет средств местного бюджета  подпрограммы "Дороги Подмосковья" Государственной программы Московской области "Развитие и функционирование дорожно-транспортного комплекса"</t>
  </si>
  <si>
    <t>Плата за выбросы загрязняющих веществ в атмосферный воздух стационарными объектами</t>
  </si>
  <si>
    <t>1 12 01 010 01 0000 120</t>
  </si>
  <si>
    <t>Плата за выбросы загрязняющих веществ в атмосферный воздух передвижными объектами</t>
  </si>
  <si>
    <t>1 12 01 020 01 0000 120</t>
  </si>
  <si>
    <t>Плата за сбросы загрязняющих веществ в водные объекты</t>
  </si>
  <si>
    <t>1 12 01 030 01 0000 120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</si>
  <si>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</si>
  <si>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</si>
  <si>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018</t>
  </si>
  <si>
    <t>1 17 01040 04 0000 180</t>
  </si>
  <si>
    <t>НАЛОГОВЫЕ И НЕНАЛОГОВЫЕ ДОХОДЫ</t>
  </si>
  <si>
    <t xml:space="preserve">Наименование </t>
  </si>
  <si>
    <t>1 14 02042 04 0000 440</t>
  </si>
  <si>
    <t>1 14 02043 04 0000 410</t>
  </si>
  <si>
    <t>1 14 02043 04 0000 440</t>
  </si>
  <si>
    <t>Иные межбюджетные трансферты</t>
  </si>
  <si>
    <t>Налог на доходы физических лиц</t>
  </si>
  <si>
    <t>1 01 02000 01 0000 110</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</si>
  <si>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</si>
  <si>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</si>
  <si>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</si>
  <si>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</si>
  <si>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</si>
  <si>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</si>
  <si>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</si>
  <si>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</si>
  <si>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</si>
  <si>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</si>
  <si>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</si>
  <si>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000 01 06 06 00 00 0000 000</t>
  </si>
  <si>
    <t>Обеспечение деятельности финансовых, налоговых и таможенных органов и органов финансового (финансово-бюджетного)  надзора</t>
  </si>
  <si>
    <t>840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</si>
  <si>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</si>
  <si>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</si>
  <si>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</si>
  <si>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Осуществление государственных полномочий в соответствии с Законом Московской области N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</si>
  <si>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017 01 06 05 01 04 0000 640</t>
  </si>
  <si>
    <t>000 01 06 05 00 00 0000 500</t>
  </si>
  <si>
    <t>1 11 05012 04 0000 120</t>
  </si>
  <si>
    <t>1 13 02994 04 0000 130</t>
  </si>
  <si>
    <t>1 13 01994 04 0000 130</t>
  </si>
  <si>
    <t>Прочие доходы  от оказания платных услуг (работ) получателями средств бюджетов городских округов</t>
  </si>
  <si>
    <t>Субвенции местным бюджетам на выполнение передаваемых полномочий субъектов РФ</t>
  </si>
  <si>
    <t>1 05 01050 01 0000 110</t>
  </si>
  <si>
    <t>1 05 03010 01 0000 110</t>
  </si>
  <si>
    <t>Налог, взимаемый в связи с применением патентной системы налогообложения</t>
  </si>
  <si>
    <t>по разделам, подразделам, целевым статьям (муниципальным программам</t>
  </si>
  <si>
    <r>
      <t>Примечание</t>
    </r>
    <r>
      <rPr>
        <sz val="9"/>
        <rFont val="Times New Roman Cyr"/>
        <family val="0"/>
      </rPr>
      <t>:                                                                                                                                                                                                                   *Публичные нормативные обязательства</t>
    </r>
  </si>
  <si>
    <t>Наименования</t>
  </si>
  <si>
    <t>Уплата налогов, сборов и иных платежей</t>
  </si>
  <si>
    <t>850</t>
  </si>
  <si>
    <t>Капитальные вложения в объекты недвижимого имущества государственной (муниципальной) собственности</t>
  </si>
  <si>
    <t>Совет депутатов городского округа Домодедово  МО</t>
  </si>
  <si>
    <t xml:space="preserve">017  </t>
  </si>
  <si>
    <t>1 14 02040 04 0000 440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</si>
  <si>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</si>
  <si>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</si>
  <si>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</si>
  <si>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</si>
  <si>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14 0 00 00000</t>
  </si>
  <si>
    <t>14 1 00 00000</t>
  </si>
  <si>
    <t>14 1 01 00000</t>
  </si>
  <si>
    <t>14 1 01 22990</t>
  </si>
  <si>
    <t>12 1 02 00000</t>
  </si>
  <si>
    <t>12 1 02 27000</t>
  </si>
  <si>
    <t>Комитет по культуре, делам молодежи и спорту</t>
  </si>
  <si>
    <t>016</t>
  </si>
  <si>
    <t>017</t>
  </si>
  <si>
    <t>Закупка товаров,работ и услуг для государственных (муниципальных) нужд</t>
  </si>
  <si>
    <t>Доплаты к пенсиям, дополнительное пенсионное обеспечение</t>
  </si>
  <si>
    <t>017 01 02 00 00 04 0000 810</t>
  </si>
  <si>
    <t>Кредиты кредитных организаций в валюте Российской Федерации</t>
  </si>
  <si>
    <t>Обслуживание государственного и муниципального долга</t>
  </si>
  <si>
    <t>Расходы на обеспечение деятельности бюджетных и автономных прочих учреждений</t>
  </si>
  <si>
    <t>Обслуживание государственного (муниципального) долга</t>
  </si>
  <si>
    <t>500</t>
  </si>
  <si>
    <t>520</t>
  </si>
  <si>
    <t xml:space="preserve">Межбюджетные трансферты  </t>
  </si>
  <si>
    <t>Субсидии</t>
  </si>
  <si>
    <t>600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</si>
  <si>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</si>
  <si>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</si>
  <si>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</si>
  <si>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</si>
  <si>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</si>
  <si>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ПЛАТЕЖИ ПРИ ПОЛЬЗОВАНИИ ПРИРОДНЫМИ РЕСУРСАМИ</t>
  </si>
  <si>
    <t>1 12 00000 00 0000 000</t>
  </si>
  <si>
    <t>Возврат бюджетных кредитов, предоставленных внутри страны в валюте Российской Федерации</t>
  </si>
  <si>
    <t>Обеспечение полноценным питанием беременных женщин, кормящих матерей, а также детей в возрасте до трех лет</t>
  </si>
  <si>
    <t>000 01 02 0000  00 0000 700</t>
  </si>
  <si>
    <t>017 01 02 00 00  04 0000 710</t>
  </si>
  <si>
    <t>Целевая субсидия на  оплату услуг по доставке льготных подписных тиражей газеты "Призыв"</t>
  </si>
  <si>
    <t>Выплата единовременной материальной помощи малоимущим гражданам*</t>
  </si>
  <si>
    <t>1 05 02000 02 0000 110</t>
  </si>
  <si>
    <t>Государственная пошлина за выдачу разрешения на установку рекламной конструкции</t>
  </si>
  <si>
    <t>Предоставление субсидий молодым семьям для приобретения жилья</t>
  </si>
  <si>
    <t>Улучшение жилищных условий семей, имеющих семь и более детей</t>
  </si>
  <si>
    <t>Частичная компенсация денежных затрат многодетных семей на приобретение комплекта школьной одежды (формы) для посещения учебных занятий на весь период обучения в муниципальных общеобразовательных учреждениях</t>
  </si>
  <si>
    <t>1 09 04052 04 0000 110</t>
  </si>
  <si>
    <t>1 09 07012 04 0000 110</t>
  </si>
  <si>
    <t>1 09 07032 04 0000 110</t>
  </si>
  <si>
    <t>1 09 07052 04 0000 110</t>
  </si>
  <si>
    <t xml:space="preserve">Прочие межбюджетные трансферты общего характера </t>
  </si>
  <si>
    <t xml:space="preserve">КУЛЬТУРА, КИНЕМАТОГРАФИЯ </t>
  </si>
  <si>
    <t>1 14 01000 00 0000 410</t>
  </si>
  <si>
    <t>Расходы на выплаты персоналу государственных (муниципальных) органов</t>
  </si>
  <si>
    <t>Примечание:</t>
  </si>
  <si>
    <t>* Публичные нормативные обязательства</t>
  </si>
  <si>
    <t>1 06 01020 04 0000 110</t>
  </si>
  <si>
    <t>Земельный налог</t>
  </si>
  <si>
    <t xml:space="preserve"> </t>
  </si>
  <si>
    <t>Приобретение технических средств реабилитации</t>
  </si>
  <si>
    <t>Целевая субсидия на организацию и осуществление мероприятий в сфере молодежной политики</t>
  </si>
  <si>
    <t>Изменение остатков средств на счетах по учету средств бюджета</t>
  </si>
  <si>
    <t>000 01 05 02 00 00 0000 500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</si>
  <si>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Cyr"/>
        <family val="0"/>
      </rPr>
      <t>1</t>
    </r>
    <r>
      <rPr>
        <sz val="12"/>
        <rFont val="Times New Roman Cyr"/>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</si>
  <si>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Cyr"/>
        <family val="0"/>
      </rPr>
      <t>1</t>
    </r>
    <r>
      <rPr>
        <sz val="12"/>
        <rFont val="Times New Roman Cyr"/>
        <family val="1"/>
      </rPr>
      <t>, пунктами 1 и 2 статьи 120, статьями 125, 126, 128, 129, 129</t>
    </r>
    <r>
      <rPr>
        <vertAlign val="superscript"/>
        <sz val="12"/>
        <rFont val="Times New Roman Cyr"/>
        <family val="0"/>
      </rPr>
      <t>1</t>
    </r>
    <r>
      <rPr>
        <sz val="12"/>
        <rFont val="Times New Roman Cyr"/>
        <family val="1"/>
      </rPr>
      <t>,132, 133, 134, 135, 135</t>
    </r>
    <r>
      <rPr>
        <vertAlign val="superscript"/>
        <sz val="12"/>
        <rFont val="Times New Roman Cyr"/>
        <family val="0"/>
      </rPr>
      <t>1</t>
    </r>
    <r>
      <rPr>
        <sz val="12"/>
        <rFont val="Times New Roman Cyr"/>
        <family val="1"/>
      </rPr>
      <t xml:space="preserve"> Налогового кодекса РФ</t>
    </r>
  </si>
  <si>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</si>
  <si>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Транспорт</t>
  </si>
  <si>
    <t>200</t>
  </si>
  <si>
    <t>Социальное обеспечение и иные выплаты населению</t>
  </si>
  <si>
    <t>300</t>
  </si>
  <si>
    <t>1 14 02042 04 0000 410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</si>
  <si>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</si>
  <si>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1 11 07014 04 0000 120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</si>
  <si>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</si>
  <si>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</si>
  <si>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</si>
  <si>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</si>
  <si>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Расходы на обеспечение деятельности бюджетных и автономных учреждений для детей-инвалидов и и детей с ограниченными возможностями здоровья</t>
  </si>
  <si>
    <t>Основное мероприятие "Реализация комплекса мер, обеспечивающего развитие системы дополнительного образования детей, в том числе направленного на совершенствование организационно-экономических механизмов обеспечения доступности услуг дополнительного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</si>
  <si>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</si>
  <si>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Налог на прибыль  организаций, зачислявшийся до 1 января 2005 года в местные бюджеты  </t>
  </si>
  <si>
    <t>1 09 01000 00 0000 110</t>
  </si>
  <si>
    <t>Прочие безвозмездные поступления в  бюджеты городских округов</t>
  </si>
  <si>
    <t xml:space="preserve">000 01 02 00 00 00 0000 000 </t>
  </si>
  <si>
    <t>Иные закупки товаров, работ, услуг для муниципальных нужд</t>
  </si>
  <si>
    <t>Мероприятия по экологии</t>
  </si>
  <si>
    <t xml:space="preserve">Сумма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</si>
  <si>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</si>
  <si>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</si>
  <si>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1 11 01000 00 0000 120</t>
  </si>
  <si>
    <t>1 11 01040 04 0000 120</t>
  </si>
  <si>
    <t>Привлечение прочих источников внутреннего финансирования дефицитов бюджетов</t>
  </si>
  <si>
    <t>017 01 06 06 00 04 0000 710</t>
  </si>
  <si>
    <t>Субсидии юридическим лицам (кроме муниципальных учреждений) и физическим лицам - производителям товаров, работ, услуг</t>
  </si>
  <si>
    <t>810</t>
  </si>
  <si>
    <t>Прочие налоги и сборы (по отмененным местным налогам и сборам)</t>
  </si>
  <si>
    <t>1 16 25010 01 0000 140</t>
  </si>
  <si>
    <t>Денежные взыскания (штрафы) за нарушение законодательства об экологической экспертизе</t>
  </si>
  <si>
    <t>Приобретение техники для нужд коммунального хозяйства</t>
  </si>
  <si>
    <t>Субсидии автономным учреждениям, в том числе:</t>
  </si>
  <si>
    <t>Подпрограмма "Развитие дополнительного образования в сфере культуры и искусства в городском округе Домодедово на 2014-2018 годы"</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</si>
  <si>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</si>
  <si>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</si>
  <si>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городского округа</t>
  </si>
  <si>
    <t>Другие вопросы в области национальной экономики</t>
  </si>
  <si>
    <t>11</t>
  </si>
  <si>
    <t>Увеличение прочих остатков денежных средств бюджетов</t>
  </si>
  <si>
    <t>Уменьшение остатков средств финансовых резервов бюджетов городских округов, размещенных в ценные бумаги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</si>
  <si>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</si>
  <si>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</si>
  <si>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Субсидии бюджетным учреждениям на выполнение муниципального задания</t>
  </si>
  <si>
    <t xml:space="preserve">Субсидии бюджетным учреждениям </t>
  </si>
  <si>
    <t>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</si>
  <si>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</si>
  <si>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</si>
  <si>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</si>
  <si>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</si>
  <si>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Основное мероприятие "Санитарное содержание и озеленение"</t>
  </si>
  <si>
    <t>Основное мероприятие "Санитарно-оздоровительные мероприятия по вырубке аварийных и больных деревьев"</t>
  </si>
  <si>
    <t>Санитарно-оздоровительные мероприятия по вырубке аварийных и больных деревьев</t>
  </si>
  <si>
    <t>11 Д 00 00000</t>
  </si>
  <si>
    <t>11 Д 01 00000</t>
  </si>
  <si>
    <t>11 Д 01 22990</t>
  </si>
  <si>
    <t>99 0 00 12030</t>
  </si>
  <si>
    <t>99 0 00 12040</t>
  </si>
  <si>
    <t>99 0 00 12050</t>
  </si>
  <si>
    <t>09 1 03 25280</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</si>
  <si>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</si>
  <si>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2 07 04050 04 0000 180</t>
  </si>
  <si>
    <t>Иные закупки  товаров, работ и  услуг для муниципальных нужд</t>
  </si>
  <si>
    <t>1 13 00000 00 0000 000</t>
  </si>
  <si>
    <t>1 13 02000 00 0000 130</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</si>
  <si>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</si>
  <si>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630</t>
  </si>
  <si>
    <t>Погашение бюджетных кредитов, полученных от других бюджетов бюджетной системы Российской Федерации в валюте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</si>
  <si>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</si>
  <si>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Государственная пошлина по делам, рассматриваемым в судах общей юрисдикции, мировыми судьями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</si>
  <si>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</si>
  <si>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</si>
  <si>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</si>
  <si>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</si>
  <si>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</si>
  <si>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</si>
  <si>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11 3 04 00000</t>
  </si>
  <si>
    <t>11 3 04 22040</t>
  </si>
  <si>
    <t>11 1 04 61420</t>
  </si>
  <si>
    <t>11 1 04 60680</t>
  </si>
  <si>
    <t>11 1 01 22040</t>
  </si>
  <si>
    <t>11 2 02 00000</t>
  </si>
  <si>
    <t>11 2 02 22050</t>
  </si>
  <si>
    <t>Софинансирование расходов из областного бюджета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</si>
  <si>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Софинансирование расходов из федерального бюджета на реконструкцию тренировочной площадки на стадионе "Авангард", расположенном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</si>
  <si>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Реконструкция тренировочной площадки  на стадионе «Авангард», расположенному по адресу: Московская область, городской округ Домодедово, ул.2-я Коммунистическая д. 2</t>
  </si>
  <si>
    <t>Софинансирование расходов из федерального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</si>
  <si>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1 09 00000 00 0000 000</t>
  </si>
  <si>
    <t>10 1 01 00000</t>
  </si>
  <si>
    <t>10 1 01 25070</t>
  </si>
  <si>
    <t>10 1 01 25080</t>
  </si>
  <si>
    <t>Межбюджетные трансферты, передаваемые бюджетам городских округов на комплектование книжных фондов библиотек муниципальных образований</t>
  </si>
  <si>
    <t>Государственная пошлина за государственную регистрацию, а также за совершение прочих юридически значимых действий</t>
  </si>
  <si>
    <t>024</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</si>
  <si>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</si>
  <si>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Выполнение кадастровых работ в целях постановки на кадастровый учет объектов недвижимого имущества, поступающих в собственность городского округа</t>
  </si>
  <si>
    <t>Взнос на капитальный ремонт общего имущества многоквартирных домов за помещения, которые находятся в муниципальной собственности</t>
  </si>
  <si>
    <t>Оплата коммунальных услуг и услуг по содержанию имущества, находящегося в собственности городского округа</t>
  </si>
  <si>
    <t>Подпрограмма "Развитие конкуренции в городском округе Домодедово на 2015-2018 годы"</t>
  </si>
  <si>
    <t>Подпрограмма "Инвестиции городского округа Домодедово на 2015-2018 годы"</t>
  </si>
  <si>
    <t>Акции и иные формы участия в капитале, находящиеся в государственной и муниципальной собственности</t>
  </si>
  <si>
    <t>1 11 05000 00 0000 120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</si>
  <si>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</si>
  <si>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НАЛОГИ НА СОВОКУПНЫЙ ДОХОД</t>
  </si>
  <si>
    <t>1 05 00000 00 0000 000</t>
  </si>
  <si>
    <t>Выплата единовременной материальной помощи участникам обороны Москвы (включая вдов)*</t>
  </si>
  <si>
    <t>Центральный аппарат</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</si>
  <si>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</si>
  <si>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</si>
  <si>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</si>
  <si>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</si>
  <si>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1 16 33000 00 0000 140</t>
  </si>
  <si>
    <t>Расходы на обеспечение деятельности бюджетных и автономных учреждений дополнительного образования</t>
  </si>
  <si>
    <t>02 3 01 00000</t>
  </si>
  <si>
    <t>02 3 00 00000</t>
  </si>
  <si>
    <t>02 3 01 71230</t>
  </si>
  <si>
    <t>Основное мероприятие "Реализация комплекса мер, направленных на защиту прав детей-сирот и детей, оставшихся без попечения родителей"</t>
  </si>
  <si>
    <t>Расходы  на обеспечение деятельности бюджетных и автономных учреждений для детей-сирот и детей, оставшихся без попечения родителей</t>
  </si>
  <si>
    <t>1 08 00000 00 0000 000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</si>
  <si>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</si>
  <si>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</si>
  <si>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</si>
  <si>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</si>
  <si>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</si>
  <si>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</si>
  <si>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</si>
  <si>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</si>
  <si>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</si>
  <si>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 xml:space="preserve">от                         №   </t>
  </si>
  <si>
    <t>Наименование расхода</t>
  </si>
  <si>
    <t>Всего</t>
  </si>
  <si>
    <t>в том числе:</t>
  </si>
  <si>
    <t>Сумма</t>
  </si>
  <si>
    <t xml:space="preserve">Размещение социальной рекламы в печатных и электронных средствах массовой информации </t>
  </si>
  <si>
    <t>Частичная компенсация транспортных расходов организаций индивидуальных предпринимателей по доставке продовольственных и промышленных товаров в сельские населенные пункты</t>
  </si>
  <si>
    <t>Расходы на обеспечение и развитие информационно-коммуникационных технологий</t>
  </si>
  <si>
    <t>Прочие расходы, связанные с управлением имуществом, находящимся в собственности городского округа</t>
  </si>
  <si>
    <t>Основное мероприятие "Создание и развитие обзеобразовательных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</si>
  <si>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"Обеспечение развития инновационной инфраструктуры общего образования"</t>
  </si>
  <si>
    <t>02 2 05 00000</t>
  </si>
  <si>
    <t>02 2 05 71210</t>
  </si>
  <si>
    <t>02 2 06 00000</t>
  </si>
  <si>
    <t>Организация горячего питания обучающихся в общеобразовательных учреждениях</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</si>
  <si>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</si>
  <si>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Основное мероприятие "Освещение деятельности органов местного самоуправления в печатных средствах массовой информации"</t>
  </si>
  <si>
    <t>Основное мероприятие "Освещение деятельности органов местного самоуправления в электронных средствах массовой информации"</t>
  </si>
  <si>
    <t>12 1 00 00000</t>
  </si>
  <si>
    <t>12 1 01 00000</t>
  </si>
  <si>
    <t>95 0 00 00000</t>
  </si>
  <si>
    <t>99 0 00 Т9990</t>
  </si>
  <si>
    <t>11 1 02 22040</t>
  </si>
  <si>
    <t xml:space="preserve">200 </t>
  </si>
  <si>
    <t xml:space="preserve">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</si>
  <si>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Социальное обеспечение населения</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</si>
  <si>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</si>
  <si>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</si>
  <si>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</si>
  <si>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1 09 07000 00 0000 110</t>
  </si>
  <si>
    <t>Налог на рекламу</t>
  </si>
  <si>
    <t>1 09 07010 00 0000 110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</si>
  <si>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</si>
  <si>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</si>
  <si>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</si>
  <si>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Прочие поступления от денежных взысканий (штрафов) и иных сумм в возмещение ущерба, зачисляемые в  бюджеты городских округов</t>
  </si>
  <si>
    <t>Субсидии бюджетам бюджетной системы Российской Федерации (межбюджетные субсидии)</t>
  </si>
  <si>
    <t>Бюджетные кредиты, предоставленные внутри страны в валюте Российской Федерации</t>
  </si>
  <si>
    <t>000 01 06 05 00 00 0000 600</t>
  </si>
  <si>
    <t>Обслуживание муниципального долга</t>
  </si>
  <si>
    <t>1 08 03010 01 0000 110</t>
  </si>
  <si>
    <t>Благоустройство</t>
  </si>
  <si>
    <t>Уменьшение прочих остатков средств бюджетов</t>
  </si>
  <si>
    <t>1 11 05024 04 0000 120</t>
  </si>
  <si>
    <t>1 11 07000 00 0000 120</t>
  </si>
  <si>
    <t>03 1 05 00000</t>
  </si>
  <si>
    <t>Основное мероприятие "Безбарьерная среда в городском округе Домодедово"</t>
  </si>
  <si>
    <t>03 2 00 00000</t>
  </si>
  <si>
    <t>03 2 01 00000</t>
  </si>
  <si>
    <t>Основное мероприятие "Материальная помощь некоторым категориям работников медицинских учреждений городского округа Домодедово"*</t>
  </si>
  <si>
    <t>03 3 01 00000</t>
  </si>
  <si>
    <t>03 3 01 26250</t>
  </si>
  <si>
    <t>Уменьшение прочих остатков денежных средств бюджетов</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</si>
  <si>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</si>
  <si>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</si>
  <si>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</si>
  <si>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</si>
  <si>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</si>
  <si>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000 01 06 00 00 00 0000 500</t>
  </si>
  <si>
    <t>Обеспечение проведения выборов и референдумов</t>
  </si>
  <si>
    <t>Другие вопросы в области национальной безопасности и правоохранительной деятельности</t>
  </si>
  <si>
    <t xml:space="preserve">                    ВСЕГО  ДОХОДОВ</t>
  </si>
  <si>
    <t>8 90 00000 00 0000 000</t>
  </si>
  <si>
    <t>1 16 30000 01 0000 140</t>
  </si>
  <si>
    <t xml:space="preserve">Код </t>
  </si>
  <si>
    <t>Обеспечение деятельности органов местного самоупраления</t>
  </si>
  <si>
    <t>11 Б 00 00000</t>
  </si>
  <si>
    <t>11 Б 01 00000</t>
  </si>
  <si>
    <t>11 Б 01 22040</t>
  </si>
  <si>
    <t>Основное мероприятие "Создание условий для реализации полномочий органов местного самоуправления"</t>
  </si>
  <si>
    <t>Основное мероприятие "Оценка имущества"</t>
  </si>
  <si>
    <t>11 Г 00 00000</t>
  </si>
  <si>
    <t>11 Г 02 00000</t>
  </si>
  <si>
    <t>Взнос в уставной фонд муниципальных унитарных предприятий</t>
  </si>
  <si>
    <t>Основное мероприятие "Увеличение имущественной базы городского округа Домодедово"</t>
  </si>
  <si>
    <t>Основное мероприятие "Управление имуществом, находящимся в собственности городского округа Домодедово"</t>
  </si>
  <si>
    <t>11 0 00 00000</t>
  </si>
  <si>
    <t>99 0 00 60700</t>
  </si>
  <si>
    <t>Основное мероприятие "Взнос на капитальный ремонт"</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</si>
  <si>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</si>
  <si>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08 0 00 00000</t>
  </si>
  <si>
    <t>Основное мероприятие "Обеспечение выполнения функций муниципального бюджетного учреждения"</t>
  </si>
  <si>
    <t>04 0 00 00000</t>
  </si>
  <si>
    <t>04 2 00 00000</t>
  </si>
  <si>
    <t>04 2 01 84310</t>
  </si>
  <si>
    <t>Основное мероприятие "Организация и проведение мероприятий по работе с детьми и молодежью"</t>
  </si>
  <si>
    <t>04 2 02 84320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</si>
  <si>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</si>
  <si>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11 1 04 00000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</si>
  <si>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</si>
  <si>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</si>
  <si>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</si>
  <si>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</si>
  <si>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</si>
  <si>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1 16 30013 01 0000 140</t>
  </si>
  <si>
    <t>Прочие денежные взыскания (штрафы) за правонарушения в области дорожного движения</t>
  </si>
  <si>
    <t>1 16 30030 01 0000 140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</si>
  <si>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мкр-н Востряково г.Домодедово НПВК "ВКВ" </t>
  </si>
  <si>
    <t>03 0 00 00000</t>
  </si>
  <si>
    <t>03 1 00 00000</t>
  </si>
  <si>
    <t>03 1 01 00000</t>
  </si>
  <si>
    <t>Основное мероприятие "Оказание единовременной материальной помощи отдельным категориям граждан к памятным датам"</t>
  </si>
  <si>
    <t>03 1 01 26060</t>
  </si>
  <si>
    <t>Основное мероприятие "Обеспечение ежемесячных доплат к пенсии муниципальным служащим и Почетным гражданам городского округа Домодедово"</t>
  </si>
  <si>
    <t>03 1 01 26070</t>
  </si>
  <si>
    <t>03 1 01 26080</t>
  </si>
  <si>
    <t>03 1 01 26090</t>
  </si>
  <si>
    <t>03 1 01 26100</t>
  </si>
  <si>
    <t>03 1 01 26110</t>
  </si>
  <si>
    <t>03 1 01 26120</t>
  </si>
  <si>
    <t>03 1 01 26130</t>
  </si>
  <si>
    <t>03 1 01 26140</t>
  </si>
  <si>
    <t>Основное мероприятие "Оказание единовременной материальной помощи ветеранам и другим категориям граждан"</t>
  </si>
  <si>
    <t>03 1 02 00000</t>
  </si>
  <si>
    <t>03 1 02 26040</t>
  </si>
  <si>
    <t>03 1 02 26050</t>
  </si>
  <si>
    <t>03 1 02 26160</t>
  </si>
  <si>
    <t>03 1 02 26170</t>
  </si>
  <si>
    <t>03 1 02 26210</t>
  </si>
  <si>
    <t>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</si>
  <si>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03 1 02 26220</t>
  </si>
  <si>
    <t>03 1 02 26230</t>
  </si>
  <si>
    <t>Профессиональная подготовка, переподготовка и повышение квалификации</t>
  </si>
  <si>
    <t>Другие вопросы в области культуры,  кинематографии</t>
  </si>
  <si>
    <t>Прочие неналоговые доходы</t>
  </si>
  <si>
    <t>1 17 05000 00 0000 180</t>
  </si>
  <si>
    <t>Прочие субвенции</t>
  </si>
  <si>
    <t>ДОХОДЫ ОТ ПРОДАЖИ МАТЕРИАЛЬНЫХ  И НЕМАТЕРИАЛЬНЫХ АКТИВОВ</t>
  </si>
  <si>
    <t>1 14 00000 00 0000 000</t>
  </si>
  <si>
    <t>Доходы от продажи квартир</t>
  </si>
  <si>
    <t>Телевидение и радиовещание</t>
  </si>
  <si>
    <t>Периодическая печать и издательства</t>
  </si>
  <si>
    <t>11 Г 01 00000</t>
  </si>
  <si>
    <t>11 Г 02 20030</t>
  </si>
  <si>
    <t>11 Г 02 23500</t>
  </si>
  <si>
    <t>Приложение № 6</t>
  </si>
  <si>
    <t>Приложение № 8</t>
  </si>
  <si>
    <t>1 11 09000 00 0000 120</t>
  </si>
  <si>
    <t>000 01 05 02 01 00 0000 610</t>
  </si>
  <si>
    <t>Субсидии некоммерческим организациям (за исключением государственных (муниципальных) учреждений)</t>
  </si>
  <si>
    <t>Налог на имущество физических лиц</t>
  </si>
  <si>
    <t>1 06 01000 00 0000 110</t>
  </si>
  <si>
    <t xml:space="preserve">от                        №   </t>
  </si>
  <si>
    <t>ВОЗВРАТ ОСТАТКОВ СУБСИДИЙ, СУБВЕНЦИЙ И ИНЫХ МЕЖБЮДЖЕТНЫХ ТРАНСФЕРТОВ, ИМЕЮЩИХ ЦЕЛЕВОЕ НАЗНАЧЕНИЕ, ПРОШЛЫХ ЛЕТ</t>
  </si>
  <si>
    <t>Итого непрограммных расходов</t>
  </si>
  <si>
    <t>02 3 04 00000</t>
  </si>
  <si>
    <t>Основное мероприятие "Реализация комлекса мер для обновления состава и компетенции педагогических работников"</t>
  </si>
  <si>
    <t>02 4 00 00000</t>
  </si>
  <si>
    <t>02 4 03 71050</t>
  </si>
  <si>
    <t>Создание механизмов мотивации педагогических работников к повышению качества работы и непрерывному профессиональному развитию</t>
  </si>
  <si>
    <t>Основное мероприятие "Реализация комплекса мер по обеспечению прав детей на организованный досуг, отдых и оздоровление"</t>
  </si>
  <si>
    <t xml:space="preserve">07 </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</si>
  <si>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</si>
  <si>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</si>
  <si>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</si>
  <si>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водного законодательства</t>
  </si>
  <si>
    <t>1 16 25040 01 0000 140</t>
  </si>
  <si>
    <t>1 16 25060 01 0000 140</t>
  </si>
  <si>
    <t>1 16 25080 01 0000 140</t>
  </si>
  <si>
    <t>Денежные взыскания (штрафы) за нарушение ФЗ "О пожарной безопасности"</t>
  </si>
  <si>
    <t>1 16 27000 01 0000 140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</si>
  <si>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</si>
  <si>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</si>
  <si>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</si>
  <si>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1 11 05310 00 0000 120</t>
  </si>
  <si>
    <t xml:space="preserve">от 18.02.2016 г. </t>
  </si>
  <si>
    <t>Капитальные вложения в объекты государственной (муниципальной) собственности</t>
  </si>
  <si>
    <t xml:space="preserve"> Бюджетные инвестиции</t>
  </si>
  <si>
    <t>410</t>
  </si>
  <si>
    <t>11 Е 00 00000</t>
  </si>
  <si>
    <t>11 Е 01 00000</t>
  </si>
  <si>
    <t>11 Е 01 22990</t>
  </si>
  <si>
    <t>Основное мероприятие "Проектно-информационное  обеспечение градостроительной деятельности городского округа Домодедово"</t>
  </si>
  <si>
    <t>14 1 02 00000</t>
  </si>
  <si>
    <t>Разработка градостроительных проектов и концепции архитектурно-художественного облика улиц города</t>
  </si>
  <si>
    <t>14 1 02 25130</t>
  </si>
  <si>
    <t>Строительство очистных сооружений микрорайон Западный, ГПЗ "Константиново"</t>
  </si>
  <si>
    <t>Строительство общеобразовательных школ</t>
  </si>
  <si>
    <t>08 3 03 00000</t>
  </si>
  <si>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7.05.2008 № 714 "Об обеспечении жильем ветеранов ВОВ 1941-1945гг"</t>
  </si>
  <si>
    <t>Основное мероприятие "Обеспечение мер социальной поддержки обучающихся в муниципальных общеобразовательных учреждениях"</t>
  </si>
  <si>
    <t>02 2 01 62230</t>
  </si>
  <si>
    <t>Муниципальная программа "Повышение энергетической эффективности городского округа Домодедово на 2015-2020 г."</t>
  </si>
  <si>
    <t>Основное мероприятие "Создание условий для реализации полномочий казенных учреждений"</t>
  </si>
  <si>
    <t>Расходы на обеспечение деятельности казенных учреждений</t>
  </si>
  <si>
    <t>11 9 00 00000</t>
  </si>
  <si>
    <t>11 9 01 00000</t>
  </si>
  <si>
    <t>11 9 01 22990</t>
  </si>
  <si>
    <t>Основное мероприятие "Капитальный ремонт многоквартирных домов"</t>
  </si>
  <si>
    <t>09 3 00 00000</t>
  </si>
  <si>
    <t>09 3 01 00000</t>
  </si>
  <si>
    <t>Капитальный ремонт многоквартирных домов</t>
  </si>
  <si>
    <t>Основное мероприятие "Развитие системы водоотведения"</t>
  </si>
  <si>
    <t>09 1 00 00000</t>
  </si>
  <si>
    <t>09 1 01 25060</t>
  </si>
  <si>
    <t>Основное мероприятие "Реконструкция котельных и строительство сетей тепло, водоснабжения, водоотведения, очистных сооружений"</t>
  </si>
  <si>
    <t>Развитие системы водоотведения</t>
  </si>
  <si>
    <t>09 1 01 00000</t>
  </si>
  <si>
    <t>09 1 02 00000</t>
  </si>
  <si>
    <t>Реконструкция котельных и строительство сетей тепло, водоснабжения, водоотведения, очистных сооружений</t>
  </si>
  <si>
    <t>09 1 02 25070</t>
  </si>
  <si>
    <t>09 1 03 00000</t>
  </si>
  <si>
    <t>09 1 03 60180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</si>
  <si>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</si>
  <si>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Дефицит бюджета городского округа</t>
  </si>
  <si>
    <t>1 16 90000 00 0000 140</t>
  </si>
  <si>
    <t>1 05 03000 01 0000 110</t>
  </si>
  <si>
    <t>000 01 06 00 00 00 0000 600</t>
  </si>
  <si>
    <t>Уменьшение финансовых активов, являющихся иными источниками внутреннего финансирования дефицитов бюджетов</t>
  </si>
  <si>
    <t>120 01 06 01 00 04 0000 630</t>
  </si>
  <si>
    <t>017 01 06 05 01 04 0000 540</t>
  </si>
  <si>
    <t>000 01 06 01 00 00 0000 000</t>
  </si>
  <si>
    <t>НАЛОГИ НА ИМУЩЕСТВО</t>
  </si>
  <si>
    <t>1 06 00000 00 0000 000</t>
  </si>
  <si>
    <t>Софинансирование расходов из областного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</si>
  <si>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</si>
  <si>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</si>
  <si>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</si>
  <si>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</si>
  <si>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</si>
  <si>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</si>
  <si>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</si>
  <si>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</si>
  <si>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</si>
  <si>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460</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</si>
  <si>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</si>
  <si>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</si>
  <si>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</si>
  <si>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</si>
  <si>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</si>
  <si>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</si>
  <si>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</si>
  <si>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</si>
  <si>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Привлечение прочих источников внутреннего финансирования дефицитов бюджетов городских округов</t>
  </si>
  <si>
    <t>Выплата единовременной материальной помощи воинам-афганцам, семьям погибших участников Афганских событий и локальных войн*</t>
  </si>
  <si>
    <t>1 05 01012 01 0000 110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</si>
  <si>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</si>
  <si>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</si>
  <si>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1 05 01021 01 0000 110</t>
  </si>
  <si>
    <t xml:space="preserve">Субсидии бюджетным учреждениям, в том числе: </t>
  </si>
  <si>
    <t>Земельный налог (по обязательствам, возникшим до 1 января 2006 года)</t>
  </si>
  <si>
    <t>1 11 09040 00 0000 120</t>
  </si>
  <si>
    <t>1 11 09044 04 0000 120</t>
  </si>
  <si>
    <t>13</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</si>
  <si>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 </t>
  </si>
  <si>
    <t>12 2 03 00000</t>
  </si>
  <si>
    <t>Развитие наружного оформления и социальной рекламы</t>
  </si>
  <si>
    <t>15 0 00 00000</t>
  </si>
  <si>
    <t>15 4 00 00000</t>
  </si>
  <si>
    <t>Основное мероприятие "Обеспечение уличного освещения"</t>
  </si>
  <si>
    <t>Обеспечение уличного освещения</t>
  </si>
  <si>
    <t>15 4 01 00000</t>
  </si>
  <si>
    <t>15 4 01 20010</t>
  </si>
  <si>
    <t>Основное мероприятие "Реконструкция объектов уличного освещения"</t>
  </si>
  <si>
    <t>15 4 02 00000</t>
  </si>
  <si>
    <t>15 4 02 20010</t>
  </si>
  <si>
    <t>Основное мероприятие "Проведение мониторинга окружающей среды"</t>
  </si>
  <si>
    <t>Проведение мониторинга окружающей среды</t>
  </si>
  <si>
    <t>06 0 00 00000</t>
  </si>
  <si>
    <t>06 1 00 00000</t>
  </si>
  <si>
    <t>06 1 01 24100</t>
  </si>
  <si>
    <t>06 1 01 00000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</si>
  <si>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</si>
  <si>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Иные закупки товаров, работ и услуг для обеспечения государственных (муниципальных) нужд</t>
  </si>
  <si>
    <t>Оплата жилищно - коммунальных услуг, разницы в тарифах по электрической энергии и природному газу отдельным категориям граждан*</t>
  </si>
  <si>
    <t>Периодические издания, учрежденные органами законодательной и исполнительной власти</t>
  </si>
  <si>
    <t>Иные источники внутреннего финансирования дефицитов бюджетов</t>
  </si>
  <si>
    <t>1 09 04050 00 0000 110</t>
  </si>
  <si>
    <t>03 2 01 26430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</si>
  <si>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</si>
  <si>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</si>
  <si>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017 01 01 00 00 04 0000 810</t>
  </si>
  <si>
    <t>Резервные средства</t>
  </si>
  <si>
    <t>870</t>
  </si>
  <si>
    <t>Прочая закупка товаров, работ и услуг для муниципальных нужд</t>
  </si>
  <si>
    <t>Прочие неналоговые доходы  бюджетов городских округов</t>
  </si>
  <si>
    <t>1 17 05040 04 0000 180</t>
  </si>
  <si>
    <t>1 17 05040 04 0001 180</t>
  </si>
  <si>
    <t>1 17 05040 04 0600 180</t>
  </si>
  <si>
    <t>04</t>
  </si>
  <si>
    <t>ОБРАЗОВАНИЕ</t>
  </si>
  <si>
    <t>Дошкольное образование</t>
  </si>
  <si>
    <t>НАЦИОНАЛЬНАЯ ЭКОНОМИКА</t>
  </si>
  <si>
    <t>Связь и информатика</t>
  </si>
  <si>
    <t>Осуществление переданных полномочий на финансовое обеспечение осуществления органами местного самоуправления отдельных государственных полномочий на обеспечение предоставления гражданам субсидий на оплату жилого помещения и коммунальных услуг</t>
  </si>
  <si>
    <t>11 6 01 61420</t>
  </si>
  <si>
    <t>Осуществление переданных полномочий  в сфере образования и организации деятельности комиссий по делам несовершеннолетних  и защите их прав</t>
  </si>
  <si>
    <t>11 6 01 60680</t>
  </si>
  <si>
    <t>11 5 01 00000</t>
  </si>
  <si>
    <t>11 5 01 05000</t>
  </si>
  <si>
    <t>Резервный фонд Администрации городского округа Домодедово</t>
  </si>
  <si>
    <t>11 5 00 00000</t>
  </si>
  <si>
    <t>Основное мероприятие "Управление средствами резервного фонда"</t>
  </si>
  <si>
    <t>04 1 03 51540</t>
  </si>
  <si>
    <t>Основное мероприятие "Техническое переоснащение учреждений культуры"</t>
  </si>
  <si>
    <t>Расходы на приобретение основных средств учреждениями культуры</t>
  </si>
  <si>
    <t>01 3 02 00000</t>
  </si>
  <si>
    <t>04 1 04 82220</t>
  </si>
  <si>
    <t>ДОХОДЫ ОТ ОКАЗАНИЯ ПЛАТНЫХ УСЛУГ (РАБОТ) И КОМПЕНСАЦИИ ЗАТРАТ ГОСУДАРСТВА</t>
  </si>
  <si>
    <t>1 13 01000 00 0000 130</t>
  </si>
  <si>
    <t>1 14 02040 04 0000 410</t>
  </si>
  <si>
    <t>1 12 01 040 01 0000 120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</si>
  <si>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</si>
  <si>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100</t>
  </si>
  <si>
    <t>Выплата единовременной материальной помощи гражданам пострадавшим от политических репрессий*</t>
  </si>
  <si>
    <t>04 1 04 87810</t>
  </si>
  <si>
    <t>04 1 04 87820</t>
  </si>
  <si>
    <t>Увеличение прочих источников финансирования дефицитов бюджетов за счет иных финансовых активов</t>
  </si>
  <si>
    <t>Земельный налог с физических лиц,   обладающих земельным участком, расположенным в границах городских округов</t>
  </si>
  <si>
    <t>1 06 06042 04 0000 110</t>
  </si>
  <si>
    <t>Приложение № 4</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</si>
  <si>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</si>
  <si>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000 01 06 06 00 00 0000 700</t>
  </si>
  <si>
    <t>1 01 02010 01 0000 110</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</si>
  <si>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</si>
  <si>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 xml:space="preserve">Исполнение судебных актов </t>
  </si>
  <si>
    <t>830</t>
  </si>
  <si>
    <t>Иные закупки  товаров, работ и услуг для муниципальных нужд</t>
  </si>
  <si>
    <t>Доходы от компенсации затрат государства</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</si>
  <si>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</si>
  <si>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1 16 03010 01 0000 140</t>
  </si>
  <si>
    <t>1 14 06000 00 0000 430</t>
  </si>
  <si>
    <t>расходы для осуществления полномочий по вопросам местного значения</t>
  </si>
  <si>
    <t>Денежные взыскания (штрафы) за нарушение законодательства в области охраны окружающей среды</t>
  </si>
  <si>
    <t>1 16 25050 01 0000 140</t>
  </si>
  <si>
    <t>Получение бюджетных кредитов от  других бюджетов бюджетной системы Российской Федерации городским округом в валюте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</si>
  <si>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</si>
  <si>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</si>
  <si>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Иные бюджетные ассигнования</t>
  </si>
  <si>
    <t>800</t>
  </si>
  <si>
    <t>Специальные расходы</t>
  </si>
  <si>
    <t>880</t>
  </si>
  <si>
    <t>Возврат остатков субсидий, субвенций и иных межбюджетных трансфертов, имеющих целевое назначение, прошлых лет из бюджетов городских округов</t>
  </si>
  <si>
    <t>ОХРАНА ОКРУЖАЮЩЕЙ СРЕДЫ</t>
  </si>
  <si>
    <t>Другие вопросы в области образования</t>
  </si>
  <si>
    <t>000 01 03 01 00 00 0000 800</t>
  </si>
  <si>
    <t>017 01 03 01 00 04 0000 810</t>
  </si>
  <si>
    <t>Реконструкция объектов уличного освещения городского округа Домодедово</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</si>
  <si>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</si>
  <si>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и развитие общеобразовательных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</si>
  <si>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"Организация и проведение мероприятий, направленных на выполнение других общегосударственных вопросов"</t>
  </si>
  <si>
    <t>11 6 02 00000</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</si>
  <si>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</si>
  <si>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1 05 01022 01 0000 110</t>
  </si>
  <si>
    <t>Увеличение финансовых активов, являющихся иными источниками внутреннего финансирования дефицитов бюджетов</t>
  </si>
  <si>
    <t>Выплата материальной помощи некоторым категориям работников медицинских учреждений городского округа Домодедово*</t>
  </si>
  <si>
    <t>Обеспечение отдельных категорий граждан бесплатным зубопротезированием*</t>
  </si>
  <si>
    <t>Основное мероприятие "Санитраное содержание и озеленение"</t>
  </si>
  <si>
    <t>09 2 01 20020</t>
  </si>
  <si>
    <t>Мероприятия по благоустройству и озеленению мест общего пользования</t>
  </si>
  <si>
    <t>09 2 01 20050</t>
  </si>
  <si>
    <t>10 5 02 00000</t>
  </si>
  <si>
    <t>10 5 02 20040</t>
  </si>
  <si>
    <t>12 0 00 00000</t>
  </si>
  <si>
    <t>12 2 00 00000</t>
  </si>
  <si>
    <t>12 2 01 00000</t>
  </si>
  <si>
    <t>1 08 07000 01 0000 110</t>
  </si>
  <si>
    <t xml:space="preserve">1 08 07150 01 0000 110 </t>
  </si>
  <si>
    <t>Приложение № 1</t>
  </si>
  <si>
    <t>Приложение № 2</t>
  </si>
  <si>
    <t xml:space="preserve">Земельный налог с организаций
</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</si>
  <si>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</si>
  <si>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</si>
  <si>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</si>
  <si>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</si>
  <si>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Основное мероприятие "Сохранение культурного наследия, памятников, обелисков  и мемориальных досок, посвященных событиям Великой Отечественной войны, находящихся на территории городского округа Домодедово"</t>
  </si>
  <si>
    <t>01 0 01 00000</t>
  </si>
  <si>
    <t>01 0 01 84510</t>
  </si>
  <si>
    <t>Мероприятия по сохранению объектов культурного наследия, находящихся в собственности городского округа Домодедово</t>
  </si>
  <si>
    <t>Основное мероприятие "Обеспечение выполнения функций муниципального музея"</t>
  </si>
  <si>
    <t>01 0 02 0000</t>
  </si>
  <si>
    <t>Основное мероприятие "Организация и проведение мероприятий культуры и искусства""</t>
  </si>
  <si>
    <t>01 0 03 0000</t>
  </si>
  <si>
    <t>Основное мероприятие "Обеспечение выполнения функций муниципальных культурно-досуговых учреждений"</t>
  </si>
  <si>
    <t>01 0 03 84500</t>
  </si>
  <si>
    <t>01 0 04 84400</t>
  </si>
  <si>
    <t>01 0 04 00000</t>
  </si>
  <si>
    <t>Расходы на обеспечение деятельности муниципального музея</t>
  </si>
  <si>
    <t xml:space="preserve">Расходы на организацию и проведение мероприятий культуры и искусства </t>
  </si>
  <si>
    <t>Расходы на обеспечение деятельности культурно-досуговых учреждений</t>
  </si>
  <si>
    <t>01 2 00 00000</t>
  </si>
  <si>
    <t>01 2 01 00000</t>
  </si>
  <si>
    <t>01 2 01 83300</t>
  </si>
  <si>
    <t>01 2 02 00000</t>
  </si>
  <si>
    <t>01 2 02 85500</t>
  </si>
  <si>
    <t>01 3 01 22040</t>
  </si>
  <si>
    <t>01 3 02 84520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</si>
  <si>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</si>
  <si>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Погашение муниципальных ценных бумаг городских округов, номинальная стоимость которых указана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</si>
  <si>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</si>
  <si>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</si>
  <si>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017 01 03 01 00 04 0000 710</t>
  </si>
  <si>
    <t>Целевая субсидия на приобретение оборудования</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</si>
  <si>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или муниципальным образованиям </t>
  </si>
  <si>
    <t>1 09 07030 00 0000 110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</si>
  <si>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</si>
  <si>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</si>
  <si>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</si>
  <si>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</si>
  <si>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Контрольно-счетные органы муниципальных образований</t>
  </si>
  <si>
    <t>Мероприятия по землеустройству и землепользованию</t>
  </si>
  <si>
    <t>1 14 06012 04 0000 430</t>
  </si>
  <si>
    <t>Финансовое управление Администрации городского округа Домодедово Московской области</t>
  </si>
  <si>
    <t>Подпрограмма "Энергосбережение и повыщение энергетической эффективности в организациях и учреждениях бюджетной сферы на 2015-2020 годы"</t>
  </si>
  <si>
    <t>15 1 00 00000</t>
  </si>
  <si>
    <t>Основное мероприятие "Снижение энергопотребления в организациях и учреждениях бюджетной сферы"</t>
  </si>
  <si>
    <t>15 1 01 00000</t>
  </si>
  <si>
    <t>15 1 01 20110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</si>
  <si>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</si>
  <si>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</si>
  <si>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Налог, взимаемый в связи с применением патентной системы налогообложения, зачисляемый в бюджеты городских округов</t>
  </si>
  <si>
    <t>1 05 04010 02 0000 110</t>
  </si>
  <si>
    <t>Плата за размещение отходов производства и потребления</t>
  </si>
  <si>
    <t>Доходы от оказания платных услуг (работ)</t>
  </si>
  <si>
    <t>Прочие доходы от компенсации затрат бюджетов городских округов</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</si>
  <si>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</si>
  <si>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</si>
  <si>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1 14 06010 00 0000 430</t>
  </si>
  <si>
    <t>Погашение бюджетом городского округа кредитов от кредитных организаций в валюте Российской Федерации</t>
  </si>
  <si>
    <t>000 01 03 00 00 00 0000 000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</si>
  <si>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</si>
  <si>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Дополнительные мероприятия по развитию жилищно-коммунального хозяйства и социально-культурной сферы</t>
  </si>
  <si>
    <t>99 0 00 04400</t>
  </si>
  <si>
    <t>Целевая субсидия на мероприятия по организации отдыха детей  в каникулярное время</t>
  </si>
  <si>
    <t>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</si>
  <si>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03 1 01 26150</t>
  </si>
  <si>
    <t>Бюджетные инвестиции</t>
  </si>
  <si>
    <t>Доходы от продажи земельных участков, государственная собственность на которые не разграничена</t>
  </si>
  <si>
    <t>Охрана семьи и детства</t>
  </si>
  <si>
    <t>Прочие межбюджетные трансферты, передаваемые бюджетам городских округов</t>
  </si>
  <si>
    <t>1 16 33040 04 0000 140</t>
  </si>
  <si>
    <t>2 07 04010 04 0000 180</t>
  </si>
  <si>
    <t>2 07 04020 04 0000 180</t>
  </si>
  <si>
    <t>Поступления от денежных пожертвований, предоставляемых физическими лицами получателям средств бюджетов городских округов</t>
  </si>
  <si>
    <t>Прочие субсидии</t>
  </si>
  <si>
    <t>Доплаты к пенсиям государственных служащих субъектов РФ и муниципальных служащих*</t>
  </si>
  <si>
    <t>Субсидии на осуществление капитальных вложений бюджетным и автономным учреждениям, государственным (муниципальным) унитарным предприятиям</t>
  </si>
  <si>
    <t>Увеличение остатков средств финансовых резервов бюджетов городских округов, размещенных в ценные бумаги</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</si>
  <si>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</si>
  <si>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</si>
  <si>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</si>
  <si>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</si>
  <si>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</si>
  <si>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11 Г 01 20070</t>
  </si>
  <si>
    <t>11 Г 03 20080</t>
  </si>
  <si>
    <t>11 Г 03 22010</t>
  </si>
  <si>
    <t>11 Г 01 22010</t>
  </si>
  <si>
    <t>03 2 01 26330</t>
  </si>
  <si>
    <t>08 1 01 25550</t>
  </si>
  <si>
    <t>12 1 01 23110</t>
  </si>
  <si>
    <t>11 6 02 22330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</si>
  <si>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</si>
  <si>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</si>
  <si>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11 1 05 00000</t>
  </si>
  <si>
    <t>11 1 05 20990</t>
  </si>
  <si>
    <t xml:space="preserve">Налог, взимаемый в связи с применением упрощенной системы налогообложения </t>
  </si>
  <si>
    <t>1 05 01000 00 0000 110</t>
  </si>
  <si>
    <t>1 09 04000 00 0000 110</t>
  </si>
  <si>
    <t>Выплата единовременной материальной помощи инвалидам всех категорий в рамках проведения дня инвалида*</t>
  </si>
  <si>
    <t>Невыясненные поступления, зачисляемые в  бюджеты городских округов</t>
  </si>
  <si>
    <t>000 01 06 01 00 00 0000 630</t>
  </si>
  <si>
    <t>Жилищное хозяйство</t>
  </si>
  <si>
    <t>2 19 00000 00 0000 000</t>
  </si>
  <si>
    <t>1 08 03000 01 0000 110</t>
  </si>
  <si>
    <t>ИСТОЧНИКИ  ФИНАНСИРОВАНИЯ  ДЕФИЦИТА</t>
  </si>
  <si>
    <t>Налог на имущество физических лиц, взимаемый по ставкам, применяемым к объектам налогообложения, расположенным в границах городских округов</t>
  </si>
  <si>
    <t>БЕЗВОЗМЕЗДНЫЕ ПОСТУПЛЕНИЯ ОТ ДРУГИХ БЮДЖЕТОВ БЮДЖЕТНОЙ СИСТЕМЫ РОССИЙСКОЙ ФЕДЕРАЦИИ</t>
  </si>
  <si>
    <t>2 02 00000 00 0000 000</t>
  </si>
  <si>
    <t>Субсидии автономным учреждениям</t>
  </si>
  <si>
    <t>620</t>
  </si>
  <si>
    <t>1 01 02030 01 0000 110</t>
  </si>
  <si>
    <t xml:space="preserve">   прочие неналоговые доходы бюджетов городских округов (в части доходов от участия в реализации инвестиционных контрактов на строительство объектов недвижимости жилого назначения)</t>
  </si>
  <si>
    <t>Выплата единовременной материальной помощи участникам обороны Ленинграда*</t>
  </si>
  <si>
    <t>000 01 06 04 00 00 0000 000</t>
  </si>
  <si>
    <t>Прочие межбюджетные трансферты, передаваемые бюджетам</t>
  </si>
  <si>
    <t>Прочие безвозмездные поступления в бюджеты городских округов</t>
  </si>
  <si>
    <t xml:space="preserve">МЕЖБЮДЖЕТНЫЕ ТРАНСФЕРТЫ ОБЩЕГО ХАРАКТЕРА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</si>
  <si>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</si>
  <si>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</si>
  <si>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</si>
  <si>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</si>
  <si>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</si>
  <si>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</si>
  <si>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</si>
  <si>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Рз</t>
  </si>
  <si>
    <t>ПР</t>
  </si>
  <si>
    <t>ЦСР</t>
  </si>
  <si>
    <t>ВР</t>
  </si>
  <si>
    <t>01</t>
  </si>
  <si>
    <t>000 01 06 05 00 00 0000 000</t>
  </si>
  <si>
    <t>Администрация городского округа</t>
  </si>
  <si>
    <t>ДОХОДЫ ОТ ИСПОЛЬЗОВАНИЯ ИМУЩЕСТВА, НАХОДЯЩЕГОСЯ В ГОСУДАРСТВЕННОЙ И МУНИЦИПАЛЬНОЙ СОБСТВЕННОСТИ</t>
  </si>
  <si>
    <t>Исполнение государственных и муниципальных гарантий</t>
  </si>
  <si>
    <t>Субсидии телерадиокомпаниям и телерадиоорганизациям</t>
  </si>
  <si>
    <t>Пенсионное обеспечение</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</si>
  <si>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</si>
  <si>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</si>
  <si>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Охрана объектов растительного и  животного мира и среды их обитания</t>
  </si>
  <si>
    <t>Возврат бюджетных кредитов, предоставленных юридическим лицам из бюджета городского округа в валюте Российской Федерации</t>
  </si>
  <si>
    <t>НАЛОГИ НА ТОВАРЫ (РАБОТЫ, УСЛУГИ), РЕАЛИЗУЕМЫЕ НА ТЕРРИТОРИИ РОССИЙСКОЙ ФЕДЕРАЦИИ</t>
  </si>
  <si>
    <t>1 03 00000 00 0000 000</t>
  </si>
  <si>
    <t>1 03 02230 01 0000 110</t>
  </si>
  <si>
    <t>1 03 02240 01 0000 110</t>
  </si>
  <si>
    <t>1 03 02250 01 0000 110</t>
  </si>
  <si>
    <t>1 03 02260 01 0000 110</t>
  </si>
  <si>
    <t>1 01 02020 01 0000 110</t>
  </si>
  <si>
    <t>Арендная плата и поступления от продажи права на заключение договоров аренды за земли, находящиеся в собственности городских округов</t>
  </si>
  <si>
    <t xml:space="preserve">Наименования  </t>
  </si>
  <si>
    <t>Расходы на выплаты персоналу казенных учреждений</t>
  </si>
  <si>
    <t>110</t>
  </si>
  <si>
    <t>400</t>
  </si>
  <si>
    <t>700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</si>
  <si>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</si>
  <si>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t>
  </si>
  <si>
    <t>000 01 06 06 00 00 0000 800</t>
  </si>
  <si>
    <t>1 16 25000 00 0000 140</t>
  </si>
  <si>
    <t>Денежные взыскания (штрафы) за нарушение законодательства РФ о недрах</t>
  </si>
  <si>
    <t>01 0 02 84410</t>
  </si>
  <si>
    <t>01 0 05 84440</t>
  </si>
  <si>
    <t>01 0 05 00000</t>
  </si>
  <si>
    <t>01 0 03 00000</t>
  </si>
  <si>
    <t>01 0 02 00000</t>
  </si>
  <si>
    <t>11 Г 03 00000</t>
  </si>
  <si>
    <t>09 3 02 00000</t>
  </si>
  <si>
    <t>13 4 01 25220</t>
  </si>
  <si>
    <t>Выплата единовременной материальной помощи участникам Курской битвы (включая вдов)*</t>
  </si>
  <si>
    <t>Субсидии автономным  учреждениям</t>
  </si>
  <si>
    <t>Основное мероприятие "Финансовое обеспечение деятельности общеобразовательных учреждений"</t>
  </si>
  <si>
    <t>02 2 02 00000</t>
  </si>
  <si>
    <t>02 2 02 62200</t>
  </si>
  <si>
    <t>02 2 02 62210</t>
  </si>
  <si>
    <t>02 2 02 62250</t>
  </si>
  <si>
    <t>Расходы на обеспечение деятельности бюджетных и автономных общеобразовательных учреждений</t>
  </si>
  <si>
    <t>02 2 02 71210</t>
  </si>
  <si>
    <t>06 3 02 00000</t>
  </si>
  <si>
    <t>09 3 02 25140</t>
  </si>
  <si>
    <t>09 3 03 00000</t>
  </si>
  <si>
    <t>09 3 03 25170</t>
  </si>
  <si>
    <t>02 1 02 71200</t>
  </si>
  <si>
    <t>Создание безбарьерной среды в муниципальных учреждениях городского округа Домодедово</t>
  </si>
  <si>
    <t>08 4 00 00000</t>
  </si>
  <si>
    <t>08 3 00 00000</t>
  </si>
  <si>
    <t>08 6 00 00000</t>
  </si>
  <si>
    <t>11 Г 04 00000</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</si>
  <si>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</si>
  <si>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</si>
  <si>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Прочие поступления от денежных взысканий (штрафов) и иных сумм в возмещение ущерба</t>
  </si>
  <si>
    <t>Основное мероприятие "Инвентаризация зеленых насаждений"</t>
  </si>
  <si>
    <t>Инвентаризация зеленых насаждений</t>
  </si>
  <si>
    <t>06 3 02 24600</t>
  </si>
  <si>
    <t>Основное мероприятие "Проведение работ по уничтожению сорной растительности"</t>
  </si>
  <si>
    <t>06 3 03 24700</t>
  </si>
  <si>
    <t>06 3 03 00000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</si>
  <si>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</si>
  <si>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</si>
  <si>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Основное мероприятие "Освещение деятельности органов местного самоуправления и информирование населения об осуществляемых социально значимых событиях современными средствами наружной рекламы и в печатных средствах массовой информации"</t>
  </si>
  <si>
    <t>Софинансирование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за муниципальных образований, не имеющих круглогодичной связи с сетью автомобильных дорог Московской области счет средств бюджета городского округа Домодедово</t>
  </si>
  <si>
    <t xml:space="preserve">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t>
  </si>
  <si>
    <t>13 3 01 60240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</si>
  <si>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городского округа Домодедово</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</si>
  <si>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Московской области</t>
  </si>
  <si>
    <t>13 4 01 60240</t>
  </si>
  <si>
    <t>Основное мероприятие "Информационная поддержка малого и среднего предпринимательства"</t>
  </si>
  <si>
    <t>10 1 03 00000</t>
  </si>
  <si>
    <t>Приобретение техники для нужд благоустройства территории городского округа Домодедово за счет средств бюджета городского округа Домодедово</t>
  </si>
  <si>
    <t xml:space="preserve">05 </t>
  </si>
  <si>
    <t>09 2 01 20060</t>
  </si>
  <si>
    <t>Приобретение техники для нужд благоустройства территории городского округа Домодедово за счет средств бюджета Московской области</t>
  </si>
  <si>
    <t>09 2 01 61360</t>
  </si>
  <si>
    <t>Основное мероприятие "Устройство детских игровых и спортивных площадок, ремонт дворовых территорий на территории городского округа Домодедово"</t>
  </si>
  <si>
    <t>Основное мероприятие "Развитие наружного оформления и социальной рекламы в городском округе Домодедово"</t>
  </si>
  <si>
    <t>12 2 02 00000</t>
  </si>
  <si>
    <t>12 2 02 20080</t>
  </si>
  <si>
    <t>Основное мероприятие "Демонтаж незаконно установленных рекламных конструкций на территории городского округа Домодедово"</t>
  </si>
  <si>
    <t>Демонтаж незаконно установленных рекламных конструкций на территории городского округа Домодедово</t>
  </si>
  <si>
    <t>Основное мероприятие "Благоустройство территорий  учреждений культуры городского округа Домодедово"</t>
  </si>
  <si>
    <t>01 2 03 00000</t>
  </si>
  <si>
    <t>Расходы на благоустройство территорий  учреждений культуры</t>
  </si>
  <si>
    <t>01 2 03 86600</t>
  </si>
  <si>
    <t>Частичная компенсация расходов по арендной плате за жилое помещение медицинским работникам государственных учреждений здравоохранения, расположенных на территории городского округа Домодедово</t>
  </si>
  <si>
    <t>03 3 01 26260</t>
  </si>
  <si>
    <t>Федеральная целевая программа "Жилище", мероприятия подпрограммы "Обеспечение жильем молодых семей". Предоставление субсидий молодым семьям для приобретения жилья за счет средств, перечисляемых из федерального бюджета</t>
  </si>
  <si>
    <t>08 1 01 50200</t>
  </si>
  <si>
    <t>08 1 01 R0200</t>
  </si>
  <si>
    <t>Приобретение оборудования для оснащения плоскостных спортивных сооружений в муниципальных образованиях МО</t>
  </si>
  <si>
    <t>04 1 04 62510</t>
  </si>
  <si>
    <t>Капитальный ремонт плоскостных спортивных сооружений в муниципальных образованиях МО</t>
  </si>
  <si>
    <t>04 1 04 62520</t>
  </si>
  <si>
    <t xml:space="preserve">Софинансирование мероприятий по приобретению оборудования для оснащения  плоскостных спортивных сооружений </t>
  </si>
  <si>
    <t>Софинансирование мероприятий по капитальному ремонту плоскостных спортивных сооружений</t>
  </si>
  <si>
    <t xml:space="preserve">13 </t>
  </si>
  <si>
    <t>Софинансирование расходов на капитальный ремонт канализационных трубопроводов и колодцев по адресу: п/о Воробьево-1, в/ч 92574, Д-1, в/г №15 (Долматово)</t>
  </si>
  <si>
    <t>09 1 02 25090</t>
  </si>
  <si>
    <t>Закупка компьютерного, серверного оборудования, программного обеспечения, оргтехники</t>
  </si>
  <si>
    <t>11 2 02 60140</t>
  </si>
  <si>
    <t>Закупка компьютерного, серверного оборудования, программного обеспечения, оргтехники для территориальных обособленных структурных подразделений (офисов) МФЦ муниципальных образований</t>
  </si>
  <si>
    <t>11 2 02 60620</t>
  </si>
  <si>
    <t>Проведение работ по созданию системы защиты персональных данных территориальных обособленных структурных подразделений (офисов) МФЦ муниципальных образований</t>
  </si>
  <si>
    <t>11 2 02 60630</t>
  </si>
  <si>
    <t>Оснащение помещений территориальных обособленных структурных подразделений (офисов) МФЦ (удаленных рабочих мест МФЦ) муниципальных образований предметами мебели и иными предметами бытового назначения</t>
  </si>
  <si>
    <t>11 2 02 60640</t>
  </si>
  <si>
    <t>Софинансирование расходов на организацию деятельности многофункциональных центров предоставления государственных и муниципальных услуг</t>
  </si>
  <si>
    <t>11 2 02 60650</t>
  </si>
  <si>
    <t>Целевая субсидия на возмещение затрат специализированной службе по вопросам похоронного дела за услуги, предоставляемые согласно гарантированному перечню услуг на погребение отдельных категорий умерших, в части, превышающей размер возмещения, установленный законом МО от 17.07.2007 № 115/2007-ОЗ "О погребении и похоронном деле в Московской области"</t>
  </si>
  <si>
    <t>Обеспечение современными аппаратно-программными комплексами общеобразовательных организаций в Московской области</t>
  </si>
  <si>
    <t>02 2 05 62490</t>
  </si>
  <si>
    <t>Комплектование книжных фондов библиотек муниципальных образований и государственных библиотек городов Москвы и Санкт-Петербурга</t>
  </si>
  <si>
    <t>01 1 01 51440</t>
  </si>
  <si>
    <t>Премирование победителей смотра-конкурса "Парки Подмосковья"</t>
  </si>
  <si>
    <t>01 2 02 60050</t>
  </si>
  <si>
    <t xml:space="preserve">Расходы бюджета городского округа на 2017 год </t>
  </si>
  <si>
    <t>Муниципальная программа "Эффективная власть на 2017-2021 год"</t>
  </si>
  <si>
    <t>Подпрограмма "Развитие информационно-коммуникационных технологий городского округа Домодедово на 2017-2021 годы"</t>
  </si>
  <si>
    <t>Подпрограмма "Развитие муниципальной службы городского округа Домодедово на 2017-2021 годы"</t>
  </si>
  <si>
    <t>Подпрограмма "Обеспечение деятельности Администрации городского округа Домодедово на 2017-2021 годы"</t>
  </si>
  <si>
    <t>Подпрограмма "Развитие архивного дела на 2017-2021 годы"</t>
  </si>
  <si>
    <t>Муниципальная программа "Эффективная власть на 2017-2021 годы"</t>
  </si>
  <si>
    <t>Подпрограмма "Обеспечение реализации полномочий Финансового управления Администрации городского округа Домодедово на 2017-2021 годы"</t>
  </si>
  <si>
    <t>Основное мероприятие "Обеспечение проведения выборов и референдумов"</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</si>
  <si>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</si>
  <si>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2017-2021 годы"</t>
  </si>
  <si>
    <t>Подпрограмма "Управление муниципальными финансами городского округа Домодедово на 2017-2021 годы"</t>
  </si>
  <si>
    <t>Муниципальная программа "Предпринимательство городского округа Домодедово на 2017-2021 годы"</t>
  </si>
  <si>
    <t>Подпрограмма "Содействие занятости населения городского округа Домодедово на 2017-2021 годы"</t>
  </si>
  <si>
    <t xml:space="preserve">Реализация отдельных мероприятий </t>
  </si>
  <si>
    <t>11 6 02 22340</t>
  </si>
  <si>
    <t>Реализация мероприятий в сфере ЖКХ</t>
  </si>
  <si>
    <t>11 6 02 22350</t>
  </si>
  <si>
    <t>Поощрение председателей домовых комитетов (старших по домам), старост и председателей уличных комитетов за проводимую общественную работу в сфере ЖКХ и премии юбилярам</t>
  </si>
  <si>
    <t>11 6 02 22360</t>
  </si>
  <si>
    <t>Подпрограмма "Обеспечение деятельности МКУ "Управление информационного и технического обеспечения" городского округа Домодедово на 2017-2021 годы"</t>
  </si>
  <si>
    <t>Подпрограмма "Обеспечение деятельности МКУ "Домодедовская статистика" на 2017-2021 годы"</t>
  </si>
  <si>
    <t>Подпрограмма "Обеспечение деятельности комитета по управлению имуществом Администрации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</si>
  <si>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</si>
  <si>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</si>
  <si>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</si>
  <si>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t>Подпрограмма "Развитие наружного оформления и социальной рекламы в городском округе Домодедово на 2017-2021 годы"</t>
  </si>
  <si>
    <t>Подпрограмма "Развитие и совершенствование системы оповещения и информирования населения городского округа Домодедово на 2017-2021 годы"</t>
  </si>
  <si>
    <t>Подпрограмма "Обеспечение мероприятий гражданской обороны на территории городского округа Домодедово на 2017-2021 годы"</t>
  </si>
  <si>
    <t>Подпрограмма "Обеспечение пожарной безопасности на территории городского округа Домодедово на 2017-2021 годы"</t>
  </si>
  <si>
    <t>Подпрограмма "Профилактика преступлений и иных правонарушений на территории городского округа Домодедово на  2017-2021 годы"</t>
  </si>
  <si>
    <t>Подпрограмма "Развитие потребительского рынка и услуг на территории городского округа Домодедово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</si>
  <si>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 годы"</t>
    </r>
  </si>
  <si>
    <t>Подпрограмма "Обеспечение доступности услуг пассажирского транспорта на территории городского округа Домодедово на 2017-2021 годы"</t>
  </si>
  <si>
    <t>Муниципальная программа"Развитие и функционирование дорожно-транспортного комплекса городского округа Домодедово на 2017-2021 годы"</t>
  </si>
  <si>
    <t>Подпрограмма "Обеспечение безопасности дорожного движения на территории городского округа Домодедово на 2017-2021 годы"</t>
  </si>
  <si>
    <t>Подпрограмма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</si>
  <si>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Подпрограмма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</si>
  <si>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</si>
  <si>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Подпрограмма "Проектно-информационное обеспечение градостроительной деятельности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</si>
  <si>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</si>
  <si>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Муниципальная программа "Развитие жилищно-коммунального хозяйства на 2017-2021 годы"</t>
  </si>
  <si>
    <t>Подпрограмма "Санитарное содержание, благоустройство и озеленение городского округа Домодедово на 2017-2021 годы"</t>
  </si>
  <si>
    <t>Подпрограмма "Развитие малого и среднего предпринимательства в городском округе Домодедово на 2017-2021 годы"</t>
  </si>
  <si>
    <t>Подпрограмма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</si>
  <si>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Муниципальная программа  "Эффективная власть на 2017-2021 годы"</t>
  </si>
  <si>
    <t>Подпрограмма "Модернизация объектов коммунальной инфраструктуры на 2017-2021 годы"</t>
  </si>
  <si>
    <t>Целевая субсидия МБУ "КБ" на изготовление и монтаж забора по ул.Советская, мкр-н Северный, г.Домодедово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</si>
  <si>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</si>
  <si>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</si>
  <si>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Муниципальная программа "Предпринимательство городского округа Домодедово на 2017-2021годы"</t>
  </si>
  <si>
    <t>Расходы на обеспечение деятельности бюджетных и автономных учреждений для детей-инвалидов и  детей с ограниченными возможностями здоровья</t>
  </si>
  <si>
    <t xml:space="preserve">Муниципальная программа  "Спорт городского округа Домодедово на 2017-2021 годы" </t>
  </si>
  <si>
    <t>Подпрограмма "Молодое поколение городского округа Домодедово на 2017-2021 годы"</t>
  </si>
  <si>
    <t>Целевая субсидия МБУ "ЦБОУО" и МБУ "Эрис" на приобретение оборудования, техники и мебели</t>
  </si>
  <si>
    <t xml:space="preserve">Целевая субсидия МБУ "Эрис" на приобретение материалов и оборудования </t>
  </si>
  <si>
    <t>Муниципальная программа "Культура городского округа Домодедово на 20174-2021 годы"</t>
  </si>
  <si>
    <t>Подпрограмма "Развитие библиотечного дела в городском округе Домодедово на 2017-2021 годы"</t>
  </si>
  <si>
    <t>Подпрограмма "Укрепление материально-технической базы учреждений культуры и искусства городского округа Домодедово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</si>
  <si>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</si>
  <si>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</si>
  <si>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 xml:space="preserve">Муниципальная программа "Сельское хозяйство городского округа Домодедово Московской области на 2014-2020 годы"
</t>
  </si>
  <si>
    <t>Муниципальная программа "Жилище" городского округа Домодедово на 2017-2021 годы"</t>
  </si>
  <si>
    <t>Подпрограмма "Обеспечение жильем молодых семей городского округа Домодедово на 2017-2021 годы"</t>
  </si>
  <si>
    <t>Подпрограмма "Улучшение жилищных условий семей, имеющих семь и более детей на 2017-2021 годы"</t>
  </si>
  <si>
    <t>Подпрограмма "Развитие физической культуры и спорта в городском округе Домодедово на 2017-2021 годы"</t>
  </si>
  <si>
    <t>Реконструкция тренировочной площадки  на стадионе «Авангард» к Чемпионату мира по футболу в 2018 г</t>
  </si>
  <si>
    <t>04 1 03 86210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</si>
  <si>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</si>
  <si>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</si>
  <si>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</si>
  <si>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2017-20218 годы"</t>
    </r>
  </si>
  <si>
    <t>Муниципальная программа "Повышение энергетической эффективности городского округа Домодедово на 2015-2020 годы"</t>
  </si>
  <si>
    <t>Подпрограмма "Энергосбережение в системе уличного освещения на 2015-2020 годы"</t>
  </si>
  <si>
    <t xml:space="preserve">  БЮДЖЕТА ГОРОДСКОГО ОКРУГА ДОМОДЕДОВО НА 2017 ГОД</t>
  </si>
  <si>
    <t>Расходы бюджета городского округа на 2017 год</t>
  </si>
  <si>
    <t>11 И 00 00000</t>
  </si>
  <si>
    <t>11 И 01 00000</t>
  </si>
  <si>
    <t>11 И 01 22990</t>
  </si>
  <si>
    <t>расходов бюджета городского округа Домодедово на 2017 год</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</si>
  <si>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городского округа Домодедово на 2017-2021 годы"</t>
  </si>
  <si>
    <t xml:space="preserve">Подпрограмма "Обеспечение деятельности МКУ «Дирекция единого заказчика» на 2017-2021 годы" </t>
  </si>
  <si>
    <t>Подпрограмма "Обеспечение деятельности МКУ «Управление капитального строительства» на 2017-2021 годы"</t>
  </si>
  <si>
    <t>Муниципальная программа "Сельское хозяйство городского округа Домодедово Московской области на 2014-2020 годы"</t>
  </si>
  <si>
    <t>Подпрограмма "Обеспечение жильем детей-сирот и детей, оставшихся без попечения родителей, а также лиц из их числа на 2017-2021 годы"</t>
  </si>
  <si>
    <t>Основное мероприятие «Обеспечение проведения выборов и референдумов"</t>
  </si>
  <si>
    <t>Реализация отдельных мероприятий</t>
  </si>
  <si>
    <t>Подпрограмма "Развитие наружного оформления и социальной
рекламы в городском округе Домодедово на 2017-2021 годы"</t>
  </si>
  <si>
    <t>Муниципальная программа "Социальная защита населения городского округа Домодедово на 2017-2021 годы"</t>
  </si>
  <si>
    <t>Подпрограмма "Социальная поддержка граждан пожилого возраста, ветеранов, инвалидов и других категорий граждан городского округа Домодедово на 2017-2021 годы"</t>
  </si>
  <si>
    <t>Подпрограмма "Формирование доступной среды на 2017-2021 годы"</t>
  </si>
  <si>
    <t>Подпрограмма "Создание условий для оказания медицинской помощи населению на 2017-2021 годы"</t>
  </si>
  <si>
    <t>Приложение № 5</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</si>
  <si>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</si>
  <si>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</si>
  <si>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Муниципальная программа "Спорт городского округа Домодедово на 2017-2021 годы"</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</si>
  <si>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</si>
  <si>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чрезвычайных ситуаций природного и техногенного характера на территории городского округа Домодедово  на 2017-2021 годы"</t>
  </si>
  <si>
    <t>Подпрограмма "Развитие и совершенствование систем оповещения и информирования населения городского округа Домодедово на 2017-2021 годы"</t>
  </si>
  <si>
    <t>Подпрограмма "Обеспечение жильем детей-сирот и детей , оставшихся без попечения родителей, а также лиц из их числа на 2017-2021 годы"</t>
  </si>
  <si>
    <t>Муниципальная  программа "Развитие жилищно-коммунального хозяйства на 2017-2021 годы"</t>
  </si>
  <si>
    <t>Муниципальная  программа "Предпринимательство городского округа Домодедово на 2017-2021 годы"</t>
  </si>
  <si>
    <t>Муниципальная  программа "Эффективная власть на 2017-2021 годы"</t>
  </si>
  <si>
    <t>Подпрограма "Обеспечение деятельности Администрации городского округа Домодедово на 2017-2021 годы"</t>
  </si>
  <si>
    <t>Муниципальная  программа "Развитие и функционирование дорожно-транспортного комплекса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</si>
  <si>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</si>
  <si>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Муниципальная  программа "Жилище" городского округа Домодедово на 2017-2021 годы"</t>
  </si>
  <si>
    <t>Проектирование блока основной общеобразовательной школы на 240 учащихся по ул. Советской</t>
  </si>
  <si>
    <t>2 02 20051 00 0000 151</t>
  </si>
  <si>
    <t>2 02 20216 04 0000 151</t>
  </si>
  <si>
    <t>2 02 29999 04 0000 151</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</si>
  <si>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</si>
  <si>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</si>
  <si>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2 02 30024 04 0000 151</t>
  </si>
  <si>
    <t>2 02 35134 04 0000 151</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</si>
  <si>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</si>
  <si>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</si>
  <si>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2 02 35485 04 0000 151</t>
  </si>
  <si>
    <t>2 02 35082 04 0000 151</t>
  </si>
  <si>
    <t>2 02 39999 04 0000 151</t>
  </si>
  <si>
    <t>2 02 45160 04 0000 151</t>
  </si>
  <si>
    <t>2 02 49999 04 0000 151</t>
  </si>
  <si>
    <t>2 02 25097 04 0000 151</t>
  </si>
  <si>
    <t>2 02 30029 04 0000 151</t>
  </si>
  <si>
    <t>2 02 25030 04 0000 151</t>
  </si>
  <si>
    <t>2 02 45144 04 0000 151</t>
  </si>
  <si>
    <t>2 02 20051 04 0000 151</t>
  </si>
  <si>
    <t>2 02 25030 00 0000 151</t>
  </si>
  <si>
    <t>2 02 20216 00 0000 151</t>
  </si>
  <si>
    <t>2 02 29999 00 0000 151</t>
  </si>
  <si>
    <t>2 02 20000 00 0000 151</t>
  </si>
  <si>
    <t>2 02 30000 00 0000 151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</si>
  <si>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</si>
  <si>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</si>
  <si>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2 02 30024 00 0000 151</t>
  </si>
  <si>
    <t>2 02 30029 00 0000 151</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</si>
  <si>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</si>
  <si>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</si>
  <si>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2 02 35082 00 0000 151</t>
  </si>
  <si>
    <t>2 02 39999 00 0000 151</t>
  </si>
  <si>
    <t>2 02 40000 00 0000 151</t>
  </si>
  <si>
    <t>2 02 45160 00 0000 151</t>
  </si>
  <si>
    <t>2 02 45144 00 0000 151</t>
  </si>
  <si>
    <t>2 02 49999 00 0000 151</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</si>
  <si>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</si>
  <si>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</si>
  <si>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на реализацию федеральных целевых программ</t>
  </si>
  <si>
    <t>Подпрограмма "Обеспечение деятельности МКУ "Ремонт и обслуживание зданий" на 2017-2021 годы</t>
  </si>
  <si>
    <t>Подпрограмма "Обеспечение деятельности МКУ "Ремонт и обслуживание зданий" на 2017-2021 годы"</t>
  </si>
  <si>
    <t>Муниципальная программа " Развитие образования и воспитания в городском округе Домодедово на 2017-2021 годы"</t>
  </si>
  <si>
    <t>Муниципальная программа "Развитие образования и воспитания в городском округе Домодедово 2017-2021 годы"</t>
  </si>
  <si>
    <t>Муниципальная программа  "Развитие образования и воспитания в городском округе Домодедово на 2017-2021 годы"</t>
  </si>
  <si>
    <t>Основное мероприятие "Создание и развитие объектов дошеольного образования (включая реконструкцию, строительство, ремонт и благоустройство территории)"</t>
  </si>
  <si>
    <t>Целевая субсидия на ремонт МАДОУ детский сад № 9 "Ягодка"</t>
  </si>
  <si>
    <t>02 2 01 62220</t>
  </si>
  <si>
    <t>02 2 01 71250</t>
  </si>
  <si>
    <t>02 2 04 00000</t>
  </si>
  <si>
    <t>02 2 04 71260</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</si>
  <si>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</si>
  <si>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02 2 06 62240</t>
  </si>
  <si>
    <t>02 2 06 71220</t>
  </si>
  <si>
    <t>02 3 05 00000</t>
  </si>
  <si>
    <t>02 3 05 71240</t>
  </si>
  <si>
    <t>02 3 06 00000</t>
  </si>
  <si>
    <t>02 3 06 71210</t>
  </si>
  <si>
    <t>02 3 04 75090</t>
  </si>
  <si>
    <t>02 3 04 62190</t>
  </si>
  <si>
    <t>02 2 04 71210</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</si>
  <si>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</si>
  <si>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</si>
  <si>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значения, городских лесов и лесопарковых зон и зон озелененных территорий городского округа Домодедово и борьба с сорной растительностью на 2017-2021 годы"</t>
  </si>
  <si>
    <t>Подпрограмма "Обеспечение безопасности гидротехнических сооружений городского округа Домодедово на 2017-2021 годы"</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</si>
  <si>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</si>
  <si>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</si>
  <si>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зачения, городских лесов и лесопарковых зон и зон озелененных территорий городского округа Домдедово и борьба с сорной растительностью на 2017-2021 годы"</t>
  </si>
  <si>
    <t>Основное мероприятие "Социальная поддержка беременных женщин, кормящих матерей, детей в возрасте до трех лет"</t>
  </si>
  <si>
    <t>Муниципальная  программа "Социальная защита населения городского округа Домодедово на 2017-2021 годы"</t>
  </si>
  <si>
    <t>11 Г 04 22990</t>
  </si>
  <si>
    <t>Основное мероприятие "Резервный фонд на предупреждение и ликвидацию чрезвычайных ситуаций и последствий стихийных бедствий"</t>
  </si>
  <si>
    <t>07 1 02 00000</t>
  </si>
  <si>
    <t>07 1 02 22190</t>
  </si>
  <si>
    <t>Основное мероприятие "Повышение степени готовности личного состава формирований к реагированию и организации проведения аварийно-спасательных работ и нориативной степени готовности"</t>
  </si>
  <si>
    <t>07 1 03 00000</t>
  </si>
  <si>
    <t>07 1 03 22190</t>
  </si>
  <si>
    <t>Основное мероприятие "Создание резерва финансовых и материальных ресурсов для ликвидации чрезвычайных ситуаций"</t>
  </si>
  <si>
    <t>07 1 04 00000</t>
  </si>
  <si>
    <t>07 1 4 22190</t>
  </si>
  <si>
    <t>07 1 05 00000</t>
  </si>
  <si>
    <t xml:space="preserve">07 1 05 22190 </t>
  </si>
  <si>
    <t>Основное мероприятие "Обеспечение безопасности людей на водных объектах городского округа Домодедово"</t>
  </si>
  <si>
    <t>Основное мероприятие "Совершенствование механизма реагирования экстренных оперативных служб на обращения населения по единому номеру "112"</t>
  </si>
  <si>
    <t>Основное мероприятие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</si>
  <si>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Основное мероприятие «Создание запасов материально-технических, продовольственных, медицинских и иных средств для целей гражданской обороны»</t>
  </si>
  <si>
    <t>Основное мероприятие "Повышение степени готовности ЗСГО к приему укрываемого населения"</t>
  </si>
  <si>
    <t>Восстановление технической готовности ЗСГО</t>
  </si>
  <si>
    <t>Основное мероприятие "Обеспечение пожарной безопасности"</t>
  </si>
  <si>
    <t>07 3 02 00000</t>
  </si>
  <si>
    <t>07 3 02 22470</t>
  </si>
  <si>
    <t>Основное мероприятие "Развитие добровольной пожарной охраны на территории городского округа Домодедово"</t>
  </si>
  <si>
    <t>Основное мероприятие «Оборудование социально-значимых объектов инженерно-техническими сооружениями, обеспечивающими контроль доступа, контроль и оповещение о возникновении угроз»</t>
  </si>
  <si>
    <t>07 5 01 25010</t>
  </si>
  <si>
    <t>Обеспечение контроля доступа или блокирование несанкционированного доступа, контроль и оповещение о возникновении угроз</t>
  </si>
  <si>
    <t>Основное мероприятие «Повышение степени защищенности объектов муниципальной собственности»</t>
  </si>
  <si>
    <t>07 5 04 00000</t>
  </si>
  <si>
    <t>Основное мероприятие "Реализация мероприятий по обеспечению общественного порядка и общественной безопасности"</t>
  </si>
  <si>
    <t>Обеспечение общественного порядка и общественной безопасности</t>
  </si>
  <si>
    <t>07 5 05 00000</t>
  </si>
  <si>
    <t>07 5 05 25020</t>
  </si>
  <si>
    <t>07 5 04 25090</t>
  </si>
  <si>
    <t>07 5 06 00000</t>
  </si>
  <si>
    <t>07 5 06 25660</t>
  </si>
  <si>
    <t>07 5 07 00000</t>
  </si>
  <si>
    <t>07 5 07 25670</t>
  </si>
  <si>
    <t>07 5 08 00000</t>
  </si>
  <si>
    <t>07 5 08 25670</t>
  </si>
  <si>
    <t>Основное мероприятие "Организация и проведение мероприятий, направленных на предупреждение проявлений экстремизма, формирование мультикультурности и толерантности в молодежной среде"</t>
  </si>
  <si>
    <t>Организация и проведение мероприятий, направленных на предупреждение проявления экстремизма</t>
  </si>
  <si>
    <t>Основное мероприятие "Профилактика наркомании и токсикомании"</t>
  </si>
  <si>
    <t>Профилактика наркомании и токсикомании</t>
  </si>
  <si>
    <t>Основное мероприяитие "Информациооно-пропагандистское сопровождение антинаркотической деятельности"</t>
  </si>
  <si>
    <t>07 4 02 00000</t>
  </si>
  <si>
    <t>07 4 02 22230</t>
  </si>
  <si>
    <t>Основное мероприятие «Доставка товаров в сельские населенные пункты городского округа Домодедово»</t>
  </si>
  <si>
    <t>Основное мероприятие "Реализация механизмов государственной поддержки субъектов малого и среднего предпринимательства"</t>
  </si>
  <si>
    <t>Основное мероприятие «Организация оплачиваемых общественных работ, временного трудоустройства безработных и несовершеннолетних граждан»</t>
  </si>
  <si>
    <t>Основное мероприятие "Организация ритуальных услуг и содержание мест захоронения, в том числе воинских захоронений"</t>
  </si>
  <si>
    <t>Целевая субсидия на опубликование муниципальных правовых актов, а также официальной информации органов местного самоуправления городского округа Домодедово</t>
  </si>
  <si>
    <t>Целевая субсидия на информирование населения о деятельности органов местного самоуправления городского округа Домодедово</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</si>
  <si>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</si>
  <si>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Основное мероприятие "Развитие телекоммуникационной инфраструктуры в области подвижной радиотелефонной связи на территории городского округа Домодедово"</t>
  </si>
  <si>
    <t>Подпрограмма Обеспечение жильем отдельных категорий граждан, установленных федеральным законодательством на 2017-2021 годы"</t>
  </si>
  <si>
    <t>Основное мероприятие "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 "Об обеспечении жильем ветеранов ВОВ 1941-1945 года"</t>
  </si>
  <si>
    <t>08 2 01 51340</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</si>
  <si>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</si>
  <si>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08 3 01 00000</t>
  </si>
  <si>
    <t>08 3 01 60820</t>
  </si>
  <si>
    <t>08 4 01 00000</t>
  </si>
  <si>
    <t>08 4 01 25070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</si>
  <si>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</si>
  <si>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Основное мероприятие "Предоставление семьям, имеющим семь и более детей, жилищных субсидий на приобретение жилого помещения или строительство индивидуального жилого дома"</t>
  </si>
  <si>
    <t>11 6 05 00000</t>
  </si>
  <si>
    <t>11 6 05 22050</t>
  </si>
  <si>
    <t>2 02 25097 00 0000 151</t>
  </si>
  <si>
    <t>2 02 35134 00 0000 151</t>
  </si>
  <si>
    <t>2 02 35485 00 0000 151</t>
  </si>
  <si>
    <t>2 19 00000 04 0000 151</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</si>
  <si>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</si>
  <si>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</si>
  <si>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</si>
  <si>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</si>
  <si>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2017 год</t>
  </si>
  <si>
    <r>
      <t xml:space="preserve">от </t>
    </r>
    <r>
      <rPr>
        <u val="single"/>
        <sz val="10"/>
        <rFont val="Times New Roman"/>
        <family val="1"/>
      </rPr>
      <t>12.12.2016</t>
    </r>
    <r>
      <rPr>
        <sz val="10"/>
        <rFont val="Times New Roman"/>
        <family val="1"/>
      </rPr>
      <t xml:space="preserve">  </t>
    </r>
    <r>
      <rPr>
        <sz val="10"/>
        <rFont val="Times New Roman"/>
        <family val="1"/>
      </rPr>
      <t xml:space="preserve">№ </t>
    </r>
    <r>
      <rPr>
        <u val="single"/>
        <sz val="10"/>
        <rFont val="Times New Roman"/>
        <family val="1"/>
      </rPr>
      <t>1-4/750</t>
    </r>
  </si>
  <si>
    <t>2 02 30022 04 0000 151</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</si>
  <si>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</si>
  <si>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</si>
  <si>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2 02 30021 04 0000 151</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</si>
  <si>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</si>
  <si>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</si>
  <si>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Поступления доходов в бюджет городского округа в 2017 году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</si>
  <si>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</si>
  <si>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</si>
  <si>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Субвенции бюджетам муниципальных образований на ежемесячное денежное вознаграждение за классное руководство</t>
  </si>
  <si>
    <t>2 02 30021 00 0000 151</t>
  </si>
  <si>
    <t>Субвенции бюджетам муниципальных образований на предоставление гражданам субсидий на оплату жилого помещения и коммунальных услуг</t>
  </si>
  <si>
    <t>2 02 30022 00 0000 151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</si>
  <si>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</si>
  <si>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</si>
  <si>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Дополнительное образование детей
</t>
  </si>
  <si>
    <t>Целевая субсидия МБУ "МФЦ" на приобретение мебели и оборудования</t>
  </si>
  <si>
    <t>Целевая субсидия МБУ "МФЦ" на приобретение оборудования для оказания государственной услуги "Выдача водительских удостоверений"</t>
  </si>
  <si>
    <t>Муниципальная программа "Развитие системы информирования населения о деятельности органов местного самоуправления городского округа Домодедово на 2017-2021 годы"</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</si>
  <si>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</si>
  <si>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12 0 03 00000</t>
  </si>
  <si>
    <t>12 0 03 22070</t>
  </si>
  <si>
    <t>Осуществление государственных полномочий Московской области в области земельных отношений</t>
  </si>
  <si>
    <t>99 0 00 60830</t>
  </si>
  <si>
    <t>07 1 04 22190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</si>
  <si>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</si>
  <si>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д.Ушмары г.Домодедово </t>
  </si>
  <si>
    <t xml:space="preserve"> Бюджетные инвестиции, в том числе:</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</si>
  <si>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</si>
  <si>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Целевая субсидия МБУ "КБ" на завершение работ по благоустройству Олимпийской Аллеи</t>
  </si>
  <si>
    <t>Целевая субсидия МБУ "КБ" на благоустройство дворовых территорий городского округа Домодедово (озеленение, освещение, контейнерные площадки)</t>
  </si>
  <si>
    <t xml:space="preserve">Целевая субсидия МБУ "КБ" на приобретение бункеров для сбора ТБО для установки в городском округе Домодедово </t>
  </si>
  <si>
    <t>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</si>
  <si>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12 0 02 00000</t>
  </si>
  <si>
    <t>12 0 02 20080</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</si>
  <si>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</si>
  <si>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12 0 04 00000</t>
  </si>
  <si>
    <t>12 0 04 20060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</si>
  <si>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</si>
  <si>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Основное мероприятие: "Обеспечение реализации федерального государственного образовательного стандарта дошкольного образования"</t>
  </si>
  <si>
    <t>02 1 03 00000</t>
  </si>
  <si>
    <t>02 1 03 71200</t>
  </si>
  <si>
    <t>Целевая субсидия на закупку оборудования для муниципальных дошкольных образовательных организаций - победителей областного конкурса на присвоение статуса РИП Московской области</t>
  </si>
  <si>
    <t>Капитальные вложения в общеобразовательные организации в целях ликвидации второй смены</t>
  </si>
  <si>
    <t>02 2 04 64480</t>
  </si>
  <si>
    <t>Капитальные вложения в общеобразовательные организации в целях обеспечения односменного режима обучения</t>
  </si>
  <si>
    <t>Капитальные вложения на проектирование, вынос сетей и снос существующих зданий по адресу: мкр. Северный, ул.Советская, д.30 и д.32</t>
  </si>
  <si>
    <t>Целевая субсидия на закупку оборудования для муниципальных общеобразовательных организаций - победителей областного конкурса на присвоение статуса РИП Московской области</t>
  </si>
  <si>
    <t>Целевая субсидия на установку систем видеонаблюдения</t>
  </si>
  <si>
    <t>Целевая субсидия на закупку оборудования для муниципальных организаций дополнительного образования - победителей областного конкурса на присвоение статуса РИП Московской области</t>
  </si>
  <si>
    <t>Мероприятия по организации отдыха детей в каникулярное время в соответствии с государственной программой «Социальная защита населения Московской области» на 2017-2021 годы</t>
  </si>
  <si>
    <t>Благоустройство парков и создание новых парков</t>
  </si>
  <si>
    <t>01 2 03 60060</t>
  </si>
  <si>
    <t xml:space="preserve">Целевая субсидия на благоустройство территории  парка МАУК "ГПКиО "Елочки" </t>
  </si>
  <si>
    <t xml:space="preserve">Целевая субсидия на благоустройство территории парка МАУК "ГПКиО "Елочки" </t>
  </si>
  <si>
    <t>Подпрограмма  "Обеспечение жилыми помещениями специализированного жилищного фонда (служебные, общежития) работников сферы здравохранения, образования и культуры, спорта и молодежной политики на 2017-2021г."</t>
  </si>
  <si>
    <t>Основное мероприятие "Обеспечение жилыми  помещениями специализированного жилищного фонда (служебные, общежития)  работников социальной сферы"</t>
  </si>
  <si>
    <t>08 6 01 00000</t>
  </si>
  <si>
    <t>Приобретение жилых помещений работникам социальной сферы</t>
  </si>
  <si>
    <t>08 6 01 25660</t>
  </si>
  <si>
    <t>Основное мероприятие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Домодедово"</t>
  </si>
  <si>
    <t>12 0 01 00000</t>
  </si>
  <si>
    <t>12 0 01 23110</t>
  </si>
  <si>
    <t>12 0 01 27000</t>
  </si>
  <si>
    <t>Основное мероприятие "Обеспечение реализации федерального государственного образовательного стандарта дошкольного образования"</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</si>
  <si>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</si>
  <si>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</si>
  <si>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Приобретение и предоставление жилых помещений работникам социальной сферы</t>
  </si>
  <si>
    <t>Целевая субсидия МБУ "МФЦ" на приобретение оборудования для размещения окон приема в торговом центре</t>
  </si>
  <si>
    <t>Целевая субсидия МБУ "МФЦ" на приобретение программного обеспечения</t>
  </si>
  <si>
    <t>Ремонт автомобильной дороги общего пользования местного значения по адресу: пос. санатория "Подмосковье", Каширское шоссе, городской округ Домодедово</t>
  </si>
  <si>
    <t>Основное мероприятие "Формирование привлекательного архитектурного облика"</t>
  </si>
  <si>
    <t>Проведение мероприятий по поддержке малого и среднего предпринимательства</t>
  </si>
  <si>
    <t>10 1 03 25770</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</si>
  <si>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</si>
  <si>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09 3 02 25440</t>
  </si>
  <si>
    <t>Проведение первоочередных мероприятий по восстановлению инфраструктуры военных городков на территории МО, переданных в собственность муниципальных образований МО</t>
  </si>
  <si>
    <t>09 1 02 60300</t>
  </si>
  <si>
    <t>Целевая субсидия МБУ "КБ" на приобретение автомобиля</t>
  </si>
  <si>
    <t>Целевая субсидия МБУ "КБ" на приобретение оргтехники и оборудования</t>
  </si>
  <si>
    <t>Целевая субсидия МБУ "КБ" на приобретение цветочниц, подлежащих установке на ограждении вдоль улиц Каширское шоссе и Советсткая</t>
  </si>
  <si>
    <t>Основное мероприятие "Формирование комфортной среды"</t>
  </si>
  <si>
    <t>09 2 02 00000</t>
  </si>
  <si>
    <t xml:space="preserve"> 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</si>
  <si>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09 2 02 20180</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</si>
  <si>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</si>
  <si>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09 3 01 25190</t>
  </si>
  <si>
    <t>Ремонт тротуара по адресу: г. Домодедово, Лобановский и Краснопутьский АО, д. Образцово, дом 42 пос. Красный Путь улица Речная, дом 1, далее к д. Житнево дом 1 а, городской округ Домодедово</t>
  </si>
  <si>
    <t xml:space="preserve">Целевая субсидия МБУ "КБ" на устройство основания под каток по адресу: город Домодедово, с. Добрыниха, дом 7, городской округ Домодедово </t>
  </si>
  <si>
    <t>Целевая субсидия на оснащение вновь построенного здания МАДОУ детский сад №7 "Муравей"</t>
  </si>
  <si>
    <t>Целевая субсидия на оснащение МАДОУ детский сад № 42 "Русалочка"</t>
  </si>
  <si>
    <t>Целевая субсидия на благоустройство территории МАДОУ Домодедовская СОШ № 1</t>
  </si>
  <si>
    <t>Целевая субсидия на приобретение ноутбуков с гарнитурой для сдачи ЕГЭ и ОГЭ по иностранному языку в МАОУ Домодедовская гимназия №5</t>
  </si>
  <si>
    <t>Целевая субсидия на приобретение МФУ для МАОУ Домодедовская СОШ № 2</t>
  </si>
  <si>
    <t>Целевая субсидия на мероприятия в сфере культуры бюджетными учреждениями культуры</t>
  </si>
  <si>
    <t>Целевая субсидия на мероприятия в сфере культуры автономными учреждениями культуры</t>
  </si>
  <si>
    <t>Целевая субсидия на ремонт большого зала, технический надзор  филиала "Сельский Дом культуры "Русь" МБУ ЦКД "Импульс"</t>
  </si>
  <si>
    <t>Основное мероприятие "Капитальные вложения в объекты культуры, находящиеся в муниципальной собственности (строительство, реконструкция)"</t>
  </si>
  <si>
    <t>01 2 04 00000</t>
  </si>
  <si>
    <t>Реконструкция зоны отдыха "Пляж" на территории МАУК "ГПКиО "Елочки"</t>
  </si>
  <si>
    <t>01 2 04 87700</t>
  </si>
  <si>
    <t>Целевая субсидия МБУ "ЦОУ" на приобретение основных средств</t>
  </si>
  <si>
    <t>Мероприятия подпрограммы "Обеспечение жильем молодых семей" федеральной целевой программы "Жилище" на 2015-2020 годы</t>
  </si>
  <si>
    <t xml:space="preserve">Проектирование и строительство футбольного манежа  МАУ "ГС "Авангард" </t>
  </si>
  <si>
    <t>04 1 03 86220</t>
  </si>
  <si>
    <t xml:space="preserve">Расходы на выполнение ремонтных работ в учреждениях физической культуры и спорта </t>
  </si>
  <si>
    <t xml:space="preserve">Целевая субсидия МАУ "ГС "Авангард" на монтаж  системы подогрева футбольного поля </t>
  </si>
  <si>
    <t>Субсидии бюджетам на софинансирование капитальных вложений в объекты государственной (муниципальной) собственности</t>
  </si>
  <si>
    <t xml:space="preserve">2 02 20077 00 0000 151
</t>
  </si>
  <si>
    <t>Субсидии бюджетам городских округов на софинансирование капитальных вложений в объекты муниципальной собственности</t>
  </si>
  <si>
    <t xml:space="preserve">2 02 20077 04 0000 151
</t>
  </si>
  <si>
    <r>
      <t>Основное мероприятие "Развитие и обеспечение функционирования базовой информационно-технологической инфраструктуры О</t>
    </r>
    <r>
      <rPr>
        <sz val="8"/>
        <rFont val="Times New Roman Cyr"/>
        <family val="0"/>
      </rPr>
      <t>МСУ муниципального образования Московской области"</t>
    </r>
  </si>
  <si>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</si>
  <si>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</si>
  <si>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11 1 03 22040</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</si>
  <si>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</si>
  <si>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2017-2021 годы"</t>
  </si>
  <si>
    <t>Целевая субсидия МБУ "МФЦ" на приобретение помещения для размещения офиса МФЦ (мкр-н Авиационный)</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</si>
  <si>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t>
  </si>
  <si>
    <t>07 3 01 63520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</si>
  <si>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</si>
  <si>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Основное мероприятие "Внедрение информационных технологий для повышения качества и доступности услуг населению в сфере культуры городского округа Домодедово</t>
  </si>
  <si>
    <t>11 1 08 00000</t>
  </si>
  <si>
    <t>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</si>
  <si>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11 1 08 61050</t>
  </si>
  <si>
    <t>Целевая субсидия на приобретение RFID-оборудования, программного обеспечения и бесконтактной смарт-карты с RFID-чипом для идентификации читателя</t>
  </si>
  <si>
    <t>Софинансирование мероприятия на 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</si>
  <si>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11 1 08 81050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</si>
  <si>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за счет средств бюджета городского округа Домодедово</t>
  </si>
  <si>
    <t>11 2 02 22550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</si>
  <si>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за счет средств бюджета городского округа Домодедово</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</si>
  <si>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</si>
  <si>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11 2 02 60860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</si>
  <si>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</si>
  <si>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Ремонт подъездов многоквартирных домов</t>
  </si>
  <si>
    <t>09 3 02 60950</t>
  </si>
  <si>
    <t>Проведение ежегодной актуализации схем водоснабжения, водоотведения и теплоснабжения городского округ Домодедово</t>
  </si>
  <si>
    <t>09 1 02 25880</t>
  </si>
  <si>
    <t>Целевая субсидия МБУ "КБ" на ремонт ограждений частного сектора по ул.Каширское шоссе</t>
  </si>
  <si>
    <t>Целевая субсидия МБУ "КБ" на ремонт ограждений частного сектора по ул.2-я Коммунистическая</t>
  </si>
  <si>
    <t>Осуществление переданных полномочий Московской области по организации проведения мероприятий по отлову и содержанию безнадзорных животных</t>
  </si>
  <si>
    <t>Основное мероприятие "Реализация практики инициативного бюджетирования на территории городского округа Домодедово"</t>
  </si>
  <si>
    <t>11 5 06 00000</t>
  </si>
  <si>
    <t>Реализация проектов граждан, сформированных в рамках практики инициативного бюджетирования</t>
  </si>
  <si>
    <t>11 5 06 20090</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</si>
  <si>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</si>
  <si>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15 4 01 20090</t>
  </si>
  <si>
    <t>Установка и капитальный ремонт электросетей уличного освещения городского округа Домодедово</t>
  </si>
  <si>
    <t>15 4 01 20790</t>
  </si>
  <si>
    <t>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t>
  </si>
  <si>
    <t>15 4 01 62620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</si>
  <si>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</si>
  <si>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02 1 01 62560</t>
  </si>
  <si>
    <t>Целевая субсидия на приобретение оборудования для МАДОУ детский сад № 3 "Ивушка"</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</si>
  <si>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</si>
  <si>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02 1 03 62130</t>
  </si>
  <si>
    <t>Целевая субсижия на приобретение оборудования</t>
  </si>
  <si>
    <t>Целевая субсидия на  оборудование штабов ППЭ и аудиторий для наблюдения в общеобразовательных учреждениях. Пусконаладочные работы и установка программного обеспечения.</t>
  </si>
  <si>
    <t>Целевая субсидия на установку систем видеонаблюдения в муниципальных общеобразовательных организациях</t>
  </si>
  <si>
    <t>Целевая субсидия на приобретение компьютерного оборудования и комплектующих, оборудования и инвентаря, мебели для образовательного процесса</t>
  </si>
  <si>
    <t>Целевая субсидия на 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</si>
  <si>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основных средств (огнетушители) для МАОУ Домодедовская СОШ № 6</t>
  </si>
  <si>
    <t xml:space="preserve">Целевая субсидия на приобретение снегоуборочной машины, оборудования спортивной площадки, ноутбуков для муниципального бюджетного образовательного учреждения для обучающихся с ограниченными возможностями здоровья Кутузовская школа-интернат для обучающихся с ограниченными возможностями здоровья, городской округ Домодедово
</t>
  </si>
  <si>
    <t xml:space="preserve">Целевая субсидия на приобретение и установку спортивной площадки для Муниципального автономного общеобразовательного учреждения Заборьевская средняя общеобразовательная школа, городской округ Домодедово
</t>
  </si>
  <si>
    <t xml:space="preserve">Целевая субсидия на приобретение компьютерной техники, оборудования, ноутбуков для оснащения компьютерного класса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городской округ Домодедово
</t>
  </si>
  <si>
    <t xml:space="preserve">Целевая субсидия на приобретение учебно-лабораторного оборудования для сдачи основного государственного экзамена: комплект государственной итоговой аттестации по физике и химии для Муниципального автономного общеобразовательного учреждения Домодедовская средняя общеобразовательная школа N 1, городской округ Домодедово
</t>
  </si>
  <si>
    <t xml:space="preserve">Целевая субсидия на приобретение и установку школьной мебели для Муниципального автономного общеобразовательного учреждения Домодедовская средняя общеобразовательная школа N 4 с углубленным изучением отдельных предметов, городской округ Домодедово
</t>
  </si>
  <si>
    <t>Целевая субсидия на приобретение оборудования, мебели и инвентаря для оснащения нового здания МБУ ДО "Лира"</t>
  </si>
  <si>
    <t>Целевая субсидия на приобретение оборудования для ИАЦ ДО "Эврика"</t>
  </si>
  <si>
    <t xml:space="preserve">Целевая субсидия на приобретение борцовского ковра и матов для Муниципального бюджетного учреждения дополнительного образования Детско-юношеская спортивная школа "Олимп", городской округ Домодедово
</t>
  </si>
  <si>
    <t xml:space="preserve">Целевая субсидия на приобретение комплектов оборудования в кабинет робототехники для Муниципального бюджетного учреждения дополнительного образования Дом детского творчества "Лира", городской округ Домодедово
</t>
  </si>
  <si>
    <t xml:space="preserve">Целевая субсидия на приобретение комплектов оборудования для робототехники, радиоспорта, морского дела, моделирования по дереву для Муниципального бюджетного учреждения дополнительного образования детский морской Центр "Альбатрос", городской округ Домодедово
</t>
  </si>
  <si>
    <t xml:space="preserve">Целевая субсидия на выполнение работ по устройству пандуса и элементов ограждения танцевально-концертного зала в МАУК "ГПКиО "Елочки" </t>
  </si>
  <si>
    <t xml:space="preserve">Целевая субсидия МБУК "ЦБС" на изготовление и монтаж вывески для филиала ЦБ им.А.А. Ахматовой </t>
  </si>
  <si>
    <t>Целевая субсидия МАУК "ГПКиО" "Елочки" на приобретение основных средств</t>
  </si>
  <si>
    <t xml:space="preserve">Приобретение, доставка и установка спортивной площадки для Муниципального бюджетного учреждения городского округа Домодедово "Центр культуры и досуга "Импульс", городской округ Домодедово
</t>
  </si>
  <si>
    <t xml:space="preserve">Ремонт большого зала филиала "Сельский Дом культуры "Русь" Муниципального бюджетного учреждения городского округа Домодедово "Центр культуры и досуга "Импульс", городской округ Домодедово
</t>
  </si>
  <si>
    <t xml:space="preserve">Приобретение книжной продукции для Муниципального бюджетного учреждения культуры городского округа Домодедово "Централизованная библиотечная система", городской округ Домодедово
</t>
  </si>
  <si>
    <t xml:space="preserve">Приобретение звуковой аппаратуры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</si>
  <si>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Ремонт кровли филиала "Голубинский сельский Клуб"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</si>
  <si>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"Елочка", городской округ Домодедово
</t>
  </si>
  <si>
    <t>Возмещение затрат, связанных с предоставлением льгот собственникам жилых помещений по долевому софинансированию капитального ремонта многоквартирных домов</t>
  </si>
  <si>
    <t>03 1 02 26270</t>
  </si>
  <si>
    <t>Реализация мероприятий федеральной целевой программы "Устойчивое развитие сельских территорий на 2014 - 2017 годы и на период до 2020 года"</t>
  </si>
  <si>
    <t>05 2 01 R0180</t>
  </si>
  <si>
    <t>Целевая субсидия МАУ "ГС "Авангард" на замену покрытия футбольного поля, расположенного вблизи Олимпийской Аллеи, разработка и экспертиза ПСД</t>
  </si>
  <si>
    <t>Целевая субсидия МАУ "ГС "Авангард" на ремонт трибун с заменой кресел и подтрибунных помещений, разработка и экспертиза ПСД</t>
  </si>
  <si>
    <t xml:space="preserve">Приобретение и установка мебели, тренажеров и спортивного инвентаря для Муниципального бюджетного учреждения культуры "Центр физической культуры и спорта "Горизонт", городской округ Домодедово
</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</si>
  <si>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</si>
  <si>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субвенции +
субсидии</t>
  </si>
  <si>
    <t xml:space="preserve">2 02 25555 04 0000 151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</si>
  <si>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</si>
  <si>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</si>
  <si>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</si>
  <si>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(Предоставление субсидий из бюджета Московской области бюджетам муниципальных образований Московской области на реализацию мероприятий по подготовке и проведению чемпионата мира по футболу в 2018 году в Российской Федерации)</t>
  </si>
  <si>
    <t>09 2 02 R555F</t>
  </si>
  <si>
    <t>Целевая субсидия на приобретение мебели, игр и игрушек для дошкольных образовательных учреждений</t>
  </si>
  <si>
    <t xml:space="preserve">Целевая субсидия МАУК "ГПКиО "Ёлочки"на приобретение и установку системы видеонаблюдения, расходных материалов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</si>
  <si>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</si>
  <si>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01 2 03 R555F</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</si>
  <si>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</si>
  <si>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08 3 01 R0820</t>
  </si>
  <si>
    <t>Целевая субсидия МАУ "ГС "Авангард" на приобретение и установку спортивной площадки с покрытием</t>
  </si>
  <si>
    <t>Целевая субсидия на разработку проектно-сметной документации, прохождение государственной экспертизы и проведение монтажных работ системы видеонаблюдения с интеграцией в систему «Безопасный регион» на городском стадионе «Авангард»</t>
  </si>
  <si>
    <t>Минимальный налог, зачисляемый в бюджеты субъектов Российской Федерации (за налоговые периоды, истекшие до 1 января 2016 года)</t>
  </si>
  <si>
    <t>Изготовление полиграфической продукции о социально значимых вопросах</t>
  </si>
  <si>
    <t>12 0 01 22770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</si>
  <si>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д.Авдотьино г.Домодедово </t>
  </si>
  <si>
    <t>Целевая субсидия МУП "Домодедовский Водоканал" на проведение работ по закольцовке скважины №118 со станцией обезжелезивания ВЗУ №17 п.ЦОС ВИУА (ул.Агрохимиков)</t>
  </si>
  <si>
    <t>Целевая субсидия МУП "Домодедовский Водоканал" на проведение работ по установке оборудования умягчения воды для ВЗУ-2</t>
  </si>
  <si>
    <t>09 3 01 20050</t>
  </si>
  <si>
    <t>Софинансирование  расходов за счет средств местного бюджета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</si>
  <si>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15 4 01 20890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</si>
  <si>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</si>
  <si>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15 4 01 62630</t>
  </si>
  <si>
    <t>Подпрограмма "Дошкольное образование "</t>
  </si>
  <si>
    <t>Целевая субсидия на ремонт помещений в МАДОУ детский сад № 13 "Кораблик"</t>
  </si>
  <si>
    <t>Подпрограмма "Общее образование"</t>
  </si>
  <si>
    <t>Целевая субсидия на благоустройство территории МАОУ Домодедовская СОШ № 1</t>
  </si>
  <si>
    <t xml:space="preserve">Целевая субсидия на ремонт входных групп МАОУ Добрыниховская СОШ </t>
  </si>
  <si>
    <t xml:space="preserve">Целевая субсидия на ремонт фасада и помещений МАОУ Повадинская СОШ </t>
  </si>
  <si>
    <t>Укрепление материально-технической базы общеобразовательных организаций, команды которых заняли 1-5 место на соревнованиях «Веселые старты» среди команд общеобразовательных организаций Московской области на призы Губернатора Московской области</t>
  </si>
  <si>
    <t>Целевая субсидия на программные мероприятия, направленные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</si>
  <si>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мебели и оборудования для  муниципальных общеобразовательных организаций</t>
  </si>
  <si>
    <t>Целевая субсидия на приобретение контейнеров в МАОУ Заревская СОШ</t>
  </si>
  <si>
    <t>Целевая субсидия на приобретение видеокамер в МАОУ Домодедовская СОШ № 1</t>
  </si>
  <si>
    <t xml:space="preserve">Подпрограмма "Дополнительное образование, воспитание и психолого-социальное сопровождение детей" </t>
  </si>
  <si>
    <t>Подпрограмма "Дополнительное образование, воспитание и психолого-социальное сопровождение детей"</t>
  </si>
  <si>
    <t>Обеспечивающая подпрограмма</t>
  </si>
  <si>
    <t>Целевая субсидия на оформление сцены МБУ МКЦ "Победа"</t>
  </si>
  <si>
    <t>Подпрограмма "Дошкольное образование"</t>
  </si>
  <si>
    <t>Целевая субсидия на приобретение оборудования для проведения интерактивных вебинаров для МАУ ДПО "Центр развития образования"</t>
  </si>
  <si>
    <t>01 2 03 60050</t>
  </si>
  <si>
    <t xml:space="preserve">Целевая субсидия на разработку проектной (рабочей) документации благоустройства зоны отдыха "Пляж" на территории МАУК "ГПКиО "Елочки" </t>
  </si>
  <si>
    <t>Целевая субсидия на разработку проектной (рабочей) документации благоустройства зоны отдыха "Пляж" на территории МАУК "ГПКиО "Елочки"</t>
  </si>
  <si>
    <t>Обеспечение жильем молодых семей</t>
  </si>
  <si>
    <t>08 1 01 60200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</si>
  <si>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</si>
  <si>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08 2 02 00000</t>
  </si>
  <si>
    <t>Осуществление полномочий по обеспечению жильем отдельных категорий граждан, установленных Федеральными законами от 12 января 1995года № 5-ФЗ "О ветеранах" и от 24 ноября 1995 года №181-ФЗ "О социальной защите инвалидов в Российской Федерации"</t>
  </si>
  <si>
    <t>08 2 02 51350</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</si>
  <si>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"Елочки", городской округ Домодедово
</t>
  </si>
  <si>
    <t>Целевая субсидия МБУ "ЦКД "Импульс" на приобретение основных средств</t>
  </si>
  <si>
    <t>Софинансирование расходов на повышение заработной платы работникам муниципальных учреждений в сфере культуры</t>
  </si>
  <si>
    <t>01 0 02 60440</t>
  </si>
  <si>
    <t>01 0 04 60440</t>
  </si>
  <si>
    <t>01 0 05 60440</t>
  </si>
  <si>
    <t>01 1 01 60440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</si>
  <si>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</si>
  <si>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02 3 01 61130</t>
  </si>
  <si>
    <t>Комплексное благоустройство территорий муниципальных образований Московской области</t>
  </si>
  <si>
    <t>09 2 01 61350</t>
  </si>
  <si>
    <t>08 4 01 60190</t>
  </si>
  <si>
    <t>Софинанансирование расходов на улучшение жилищных условий семей, имеющих семь и более детей</t>
  </si>
  <si>
    <t>02 2 05 62150</t>
  </si>
  <si>
    <t>Софинансирование расходов на обеспечение современными аппаратно-программными комплексами общеобразовательных организаций в Московской области</t>
  </si>
  <si>
    <t>Целевая субсидия на ремонт отопительной системы в филиале "Молодежный центр по месту жительства "Спутник" МБУ МКЦ "Победа"</t>
  </si>
  <si>
    <t>Сельское хозяйство и рыболовство</t>
  </si>
  <si>
    <t>11 Г 05 60830</t>
  </si>
  <si>
    <t>Основное мероприятие «Создание условий для реализации государственных полномочий в области земельных отношений»</t>
  </si>
  <si>
    <t>11 Г 05 00000</t>
  </si>
  <si>
    <t>07 1 06 00000</t>
  </si>
  <si>
    <t>07 1 06 22990</t>
  </si>
  <si>
    <t>Основное мероприятие «Обеспечение эпизоотического благополучия территории Московской области от заноса и распространения заразных, в том числе особо опасных болезней животных, включая африканскую чуму свиней»</t>
  </si>
  <si>
    <t>05 1 00 00000</t>
  </si>
  <si>
    <r>
      <t>Подпрограмма</t>
    </r>
    <r>
      <rPr>
        <sz val="9"/>
        <color indexed="8"/>
        <rFont val="Sans serif"/>
        <family val="0"/>
      </rPr>
      <t xml:space="preserve"> «</t>
    </r>
    <r>
      <rPr>
        <sz val="9"/>
        <color indexed="8"/>
        <rFont val="Times New Roman"/>
        <family val="1"/>
      </rPr>
      <t>Развитие</t>
    </r>
    <r>
      <rPr>
        <sz val="9"/>
        <color indexed="8"/>
        <rFont val="Sans serif"/>
        <family val="0"/>
      </rPr>
      <t xml:space="preserve"> </t>
    </r>
    <r>
      <rPr>
        <sz val="9"/>
        <color indexed="8"/>
        <rFont val="Times New Roman"/>
        <family val="1"/>
      </rPr>
      <t>отраслей</t>
    </r>
    <r>
      <rPr>
        <sz val="9"/>
        <color indexed="8"/>
        <rFont val="Sans serif"/>
        <family val="0"/>
      </rPr>
      <t xml:space="preserve"> </t>
    </r>
    <r>
      <rPr>
        <sz val="9"/>
        <color indexed="8"/>
        <rFont val="Times New Roman"/>
        <family val="1"/>
      </rPr>
      <t>сельского</t>
    </r>
    <r>
      <rPr>
        <sz val="9"/>
        <color indexed="8"/>
        <rFont val="Sans serif"/>
        <family val="0"/>
      </rPr>
      <t xml:space="preserve"> </t>
    </r>
    <r>
      <rPr>
        <sz val="9"/>
        <color indexed="8"/>
        <rFont val="Times New Roman"/>
        <family val="1"/>
      </rPr>
      <t>хозяйства</t>
    </r>
    <r>
      <rPr>
        <sz val="9"/>
        <color indexed="8"/>
        <rFont val="Sans serif"/>
        <family val="0"/>
      </rPr>
      <t xml:space="preserve"> </t>
    </r>
    <r>
      <rPr>
        <sz val="9"/>
        <color indexed="8"/>
        <rFont val="Times New Roman"/>
        <family val="1"/>
      </rPr>
      <t>городского</t>
    </r>
    <r>
      <rPr>
        <sz val="9"/>
        <color indexed="8"/>
        <rFont val="Sans serif"/>
        <family val="0"/>
      </rPr>
      <t xml:space="preserve"> </t>
    </r>
    <r>
      <rPr>
        <sz val="9"/>
        <color indexed="8"/>
        <rFont val="Times New Roman"/>
        <family val="1"/>
      </rPr>
      <t>округа</t>
    </r>
    <r>
      <rPr>
        <sz val="9"/>
        <color indexed="8"/>
        <rFont val="Sans serif"/>
        <family val="0"/>
      </rPr>
      <t xml:space="preserve"> </t>
    </r>
    <r>
      <rPr>
        <sz val="9"/>
        <color indexed="8"/>
        <rFont val="Times New Roman"/>
        <family val="1"/>
      </rPr>
      <t>Домодедово</t>
    </r>
    <r>
      <rPr>
        <sz val="9"/>
        <color indexed="8"/>
        <rFont val="Sans serif"/>
        <family val="0"/>
      </rPr>
      <t xml:space="preserve"> </t>
    </r>
    <r>
      <rPr>
        <sz val="9"/>
        <color indexed="8"/>
        <rFont val="Times New Roman"/>
        <family val="1"/>
      </rPr>
      <t>Московской</t>
    </r>
    <r>
      <rPr>
        <sz val="9"/>
        <color indexed="8"/>
        <rFont val="Sans serif"/>
        <family val="0"/>
      </rPr>
      <t xml:space="preserve"> </t>
    </r>
    <r>
      <rPr>
        <sz val="9"/>
        <color indexed="8"/>
        <rFont val="Times New Roman"/>
        <family val="1"/>
      </rPr>
      <t>области</t>
    </r>
    <r>
      <rPr>
        <sz val="9"/>
        <color indexed="8"/>
        <rFont val="Sans serif"/>
        <family val="0"/>
      </rPr>
      <t xml:space="preserve"> </t>
    </r>
    <r>
      <rPr>
        <sz val="9"/>
        <color indexed="8"/>
        <rFont val="Times New Roman"/>
        <family val="1"/>
      </rPr>
      <t>на</t>
    </r>
    <r>
      <rPr>
        <sz val="9"/>
        <color indexed="8"/>
        <rFont val="Sans serif"/>
        <family val="0"/>
      </rPr>
      <t xml:space="preserve"> 2014-2020 </t>
    </r>
    <r>
      <rPr>
        <sz val="9"/>
        <color indexed="8"/>
        <rFont val="Times New Roman"/>
        <family val="1"/>
      </rPr>
      <t>годы</t>
    </r>
    <r>
      <rPr>
        <sz val="9"/>
        <color indexed="8"/>
        <rFont val="Sans serif"/>
        <family val="0"/>
      </rPr>
      <t>»</t>
    </r>
  </si>
  <si>
    <t>05 1 05 00000</t>
  </si>
  <si>
    <t>05 1 05 60870</t>
  </si>
  <si>
    <t>Целевая субсидия МБУ "МФЦ" на монтаж охранно-тревожной сигнализации в помещениях офисов МФЦ</t>
  </si>
  <si>
    <t>Целевая субсидия МБУ "КБ" на установку ограждения и зимнего кожуха фонтана на площади ДК "Авиатор" мкр-н Авиационный</t>
  </si>
  <si>
    <t>Целевая субсидия МБУ "МФЦ" на приобретение сейфов для хранения документов</t>
  </si>
  <si>
    <t>Предоставление субсидии Фонду капитального ремонта общего имущества многоквартирных домов на выполнение плана реализации региональной программы Московской области "Об утверждении краткосрочного плана реализации региональной программы капитального ремонта имущества в многоквартирных домах, расположенных на территории Московской области, на 2017 -2019 годы" на 2017 год</t>
  </si>
  <si>
    <t>09 3 02 25470</t>
  </si>
  <si>
    <t>10 5 04 22990</t>
  </si>
  <si>
    <t>10 5 04 00000</t>
  </si>
  <si>
    <t>Основное мероприятие "Обеспечение деятельности МКУ "Специализированная служба в сфере погребения и похоронного дела"</t>
  </si>
  <si>
    <t>02 2 05 71310</t>
  </si>
  <si>
    <t>Приобретение здания общеобразовательной школы на 825 учащихся (г.Домодедово, мкр-н Западный)</t>
  </si>
  <si>
    <t>02 2 05 71110</t>
  </si>
  <si>
    <t>Повышение заработной платы работникам муниципальных учреждений в сфере культуры</t>
  </si>
  <si>
    <t>01 0 04 80440</t>
  </si>
  <si>
    <t>01 1 01 80440</t>
  </si>
  <si>
    <t>01 0 02 80440</t>
  </si>
  <si>
    <t>01 0 05 80440</t>
  </si>
  <si>
    <t>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</si>
  <si>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02 3 01 71130</t>
  </si>
  <si>
    <t>02 2 05 71280</t>
  </si>
  <si>
    <t>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</si>
  <si>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02 2 04 71270</t>
  </si>
  <si>
    <t xml:space="preserve">Капитальные вложения в общеобразовательные организации </t>
  </si>
  <si>
    <t>Основное мероприятие "Строительство, реконструкция и ремонт учреждений дополнительного образования"</t>
  </si>
  <si>
    <t>02 3 03 00000</t>
  </si>
  <si>
    <t>02 3 03 71230</t>
  </si>
  <si>
    <t>Целевая субсидия МБУ ДО "ДДШИ" на выполнение работ по ремонту кровли в филиале "Константиновская детская музыкальная школа"</t>
  </si>
  <si>
    <t>Целевая субсидия на ремонт группы кратковременного содержания в МАДОУ детский сад № 7 "Муравей"</t>
  </si>
  <si>
    <t>Целевая субсидия МАУ "ГС "Авангард" на приобретение модульного здания</t>
  </si>
  <si>
    <r>
      <t xml:space="preserve">от </t>
    </r>
    <r>
      <rPr>
        <u val="single"/>
        <sz val="10"/>
        <rFont val="Times New Roman"/>
        <family val="1"/>
      </rPr>
      <t xml:space="preserve">28.09.2017  </t>
    </r>
    <r>
      <rPr>
        <sz val="10"/>
        <rFont val="Times New Roman"/>
        <family val="1"/>
      </rPr>
      <t xml:space="preserve">№ </t>
    </r>
    <r>
      <rPr>
        <u val="single"/>
        <sz val="10"/>
        <rFont val="Times New Roman"/>
        <family val="1"/>
      </rPr>
      <t>1-4/832</t>
    </r>
  </si>
  <si>
    <r>
      <t xml:space="preserve">от </t>
    </r>
    <r>
      <rPr>
        <u val="single"/>
        <sz val="10"/>
        <rFont val="Times New Roman"/>
        <family val="1"/>
      </rPr>
      <t xml:space="preserve">28.09.2017 </t>
    </r>
    <r>
      <rPr>
        <sz val="10"/>
        <rFont val="Times New Roman"/>
        <family val="1"/>
      </rPr>
      <t xml:space="preserve"> № </t>
    </r>
    <r>
      <rPr>
        <u val="single"/>
        <sz val="10"/>
        <rFont val="Times New Roman"/>
        <family val="1"/>
      </rPr>
      <t>1-4/832</t>
    </r>
  </si>
  <si>
    <r>
      <t xml:space="preserve">от </t>
    </r>
    <r>
      <rPr>
        <u val="single"/>
        <sz val="10"/>
        <rFont val="Times New Roman"/>
        <family val="1"/>
      </rPr>
      <t>28.09.2017</t>
    </r>
    <r>
      <rPr>
        <sz val="10"/>
        <rFont val="Times New Roman"/>
        <family val="1"/>
      </rPr>
      <t xml:space="preserve">  № </t>
    </r>
    <r>
      <rPr>
        <u val="single"/>
        <sz val="10"/>
        <rFont val="Times New Roman"/>
        <family val="1"/>
      </rPr>
      <t>1-4/832</t>
    </r>
  </si>
  <si>
    <r>
      <t xml:space="preserve">от </t>
    </r>
    <r>
      <rPr>
        <u val="single"/>
        <sz val="10"/>
        <rFont val="Times New Roman"/>
        <family val="1"/>
      </rPr>
      <t>28.09.2017</t>
    </r>
    <r>
      <rPr>
        <sz val="10"/>
        <rFont val="Times New Roman"/>
        <family val="1"/>
      </rPr>
      <t xml:space="preserve">  №</t>
    </r>
    <r>
      <rPr>
        <u val="single"/>
        <sz val="10"/>
        <rFont val="Times New Roman"/>
        <family val="1"/>
      </rPr>
      <t xml:space="preserve"> 1-4/832</t>
    </r>
  </si>
  <si>
    <r>
      <t xml:space="preserve">от </t>
    </r>
    <r>
      <rPr>
        <u val="single"/>
        <sz val="10"/>
        <rFont val="Times New Roman"/>
        <family val="1"/>
      </rPr>
      <t>12.12.2016</t>
    </r>
    <r>
      <rPr>
        <sz val="10"/>
        <rFont val="Times New Roman"/>
        <family val="1"/>
      </rPr>
      <t xml:space="preserve">  №</t>
    </r>
    <r>
      <rPr>
        <u val="single"/>
        <sz val="10"/>
        <rFont val="Times New Roman"/>
        <family val="1"/>
      </rPr>
      <t xml:space="preserve"> 1-4/750</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</si>
</sst>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0;[Red]#,##0"/>
    <numFmt numFmtId="179" formatCode="#,##0_ ;[Red]\-#,##0\ "/>
    <numFmt numFmtId="180" formatCode="#,##0.0_ ;[Red]\-#,##0.0\ "/>
    <numFmt numFmtId="181" formatCode="#,##0.00_ ;[Red]\-#,##0.00\ "/>
    <numFmt numFmtId="182" formatCode="0.0"/>
    <numFmt numFmtId="183" formatCode="_-* #,##0.0_р_._-;\-* #,##0.0_р_._-;_-* &quot;-&quot;??_р_._-;_-@_-"/>
    <numFmt numFmtId="184" formatCode="_-* #,##0_р_._-;\-* #,##0_р_._-;_-* &quot;-&quot;??_р_._-;_-@_-"/>
    <numFmt numFmtId="185" formatCode="[$€-2]\ ###,000_);[Red]\([$€-2]\ ###,000\)"/>
    <numFmt numFmtId="186" formatCode="0.000"/>
    <numFmt numFmtId="187" formatCode="[$-FC19]d\ mmmm\ yyyy\ &quot;г.&quot;"/>
    <numFmt numFmtId="188" formatCode="_-* #,##0.000_р_._-;\-* #,##0.000_р_._-;_-* &quot;-&quot;??_р_._-;_-@_-"/>
    <numFmt numFmtId="189" formatCode="#,##0.000"/>
  </numFmts>
  <fonts count="84">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sz val="12"/>
      <color indexed="9"/>
      <name val="Times New Roman Cyr"/>
      <family val="0"/>
    </font>
    <font>
      <sz val="9"/>
      <name val="Times New Roman"/>
      <family val="1"/>
    </font>
    <font>
      <i/>
      <sz val="12"/>
      <name val="Times New Roman Cyr"/>
      <family val="0"/>
    </font>
    <font>
      <b/>
      <sz val="10"/>
      <name val="Times New Roman"/>
      <family val="1"/>
    </font>
    <font>
      <sz val="8"/>
      <name val="Tahoma"/>
      <family val="2"/>
    </font>
    <font>
      <sz val="8"/>
      <name val="Arial Cyr"/>
      <family val="0"/>
    </font>
    <font>
      <b/>
      <sz val="10"/>
      <name val="Arial Cyr"/>
      <family val="0"/>
    </font>
    <font>
      <sz val="12"/>
      <color indexed="8"/>
      <name val="Times New Roman Cyr"/>
      <family val="1"/>
    </font>
    <font>
      <b/>
      <u val="single"/>
      <sz val="9"/>
      <name val="Times New Roman Cyr"/>
      <family val="0"/>
    </font>
    <font>
      <b/>
      <u val="single"/>
      <sz val="10"/>
      <name val="Times New Roman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i/>
      <sz val="9"/>
      <name val="Times New Roman"/>
      <family val="1"/>
    </font>
    <font>
      <b/>
      <i/>
      <sz val="9"/>
      <name val="Times New Roman Cyr"/>
      <family val="0"/>
    </font>
    <font>
      <b/>
      <sz val="9"/>
      <name val="Times New Roman"/>
      <family val="1"/>
    </font>
    <font>
      <vertAlign val="superscript"/>
      <sz val="12"/>
      <name val="Times New Roman Cyr"/>
      <family val="0"/>
    </font>
    <font>
      <sz val="12"/>
      <name val="Times New Roman"/>
      <family val="1"/>
    </font>
    <font>
      <b/>
      <i/>
      <sz val="9"/>
      <name val="Times New Roman"/>
      <family val="1"/>
    </font>
    <font>
      <sz val="12"/>
      <color indexed="62"/>
      <name val="Times New Roman Cyr"/>
      <family val="0"/>
    </font>
    <font>
      <sz val="10"/>
      <name val="Arial"/>
      <family val="2"/>
    </font>
    <font>
      <u val="single"/>
      <sz val="10"/>
      <name val="Times New Roman"/>
      <family val="1"/>
    </font>
    <font>
      <sz val="9"/>
      <color indexed="8"/>
      <name val="Times New Roman"/>
      <family val="1"/>
    </font>
    <font>
      <sz val="9"/>
      <color indexed="8"/>
      <name val="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8"/>
      <name val="Times New Roman Cyr"/>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Times New Roman Cyr"/>
      <family val="1"/>
    </font>
    <font>
      <sz val="12"/>
      <color rgb="FF0000FF"/>
      <name val="Times New Roman Cyr"/>
      <family val="1"/>
    </font>
    <font>
      <sz val="12"/>
      <color theme="1"/>
      <name val="Times New Roman Cyr"/>
      <family val="1"/>
    </font>
    <font>
      <sz val="12"/>
      <color rgb="FF0000CC"/>
      <name val="Times New Roman Cyr"/>
      <family val="1"/>
    </font>
    <font>
      <sz val="9"/>
      <color rgb="FF000000"/>
      <name val="Times New Roman"/>
      <family val="1"/>
    </font>
    <font>
      <sz val="12"/>
      <color rgb="FF003399"/>
      <name val="Times New Roman Cyr"/>
      <family val="1"/>
    </font>
    <font>
      <b/>
      <sz val="9"/>
      <color rgb="FF000000"/>
      <name val="Times New Roman"/>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color indexed="63"/>
      </right>
      <top style="hair"/>
      <bottom style="hair"/>
    </border>
    <border>
      <left style="hair"/>
      <right style="hair"/>
      <top style="medium"/>
      <bottom style="hair"/>
    </border>
    <border>
      <left style="hair"/>
      <right>
        <color indexed="63"/>
      </right>
      <top>
        <color indexed="63"/>
      </top>
      <bottom style="hair"/>
    </border>
    <border>
      <left style="hair"/>
      <right style="hair"/>
      <top>
        <color indexed="63"/>
      </top>
      <bottom style="hair"/>
    </border>
    <border>
      <left style="thin"/>
      <right style="hair"/>
      <top style="hair"/>
      <bottom style="hair"/>
    </border>
    <border>
      <left style="hair"/>
      <right style="thin"/>
      <top style="hair"/>
      <bottom style="hair"/>
    </border>
    <border>
      <left>
        <color indexed="63"/>
      </left>
      <right style="thin"/>
      <top>
        <color indexed="63"/>
      </top>
      <bottom style="hair"/>
    </border>
    <border>
      <left>
        <color indexed="63"/>
      </left>
      <right style="thin"/>
      <top style="thin"/>
      <bottom style="thin"/>
    </border>
    <border>
      <left style="thin"/>
      <right style="hair"/>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thin"/>
      <top style="thin"/>
      <bottom style="medium"/>
    </border>
    <border>
      <left style="thin"/>
      <right style="medium"/>
      <top style="thin"/>
      <bottom style="medium"/>
    </border>
    <border>
      <left style="hair"/>
      <right style="hair"/>
      <top>
        <color indexed="63"/>
      </top>
      <bottom>
        <color indexed="63"/>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hair"/>
      <right style="thin"/>
      <top style="hair"/>
      <bottom style="thin"/>
    </border>
    <border>
      <left style="hair"/>
      <right style="hair"/>
      <top style="hair"/>
      <bottom>
        <color indexed="63"/>
      </bottom>
    </border>
    <border>
      <left/>
      <right style="hair"/>
      <top style="hair"/>
      <bottom style="hair"/>
    </border>
    <border>
      <left style="medium"/>
      <right/>
      <top style="medium"/>
      <bottom/>
    </border>
    <border>
      <left style="medium"/>
      <right/>
      <top/>
      <bottom style="medium"/>
    </border>
    <border>
      <left/>
      <right/>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right style="medium"/>
      <top style="medium"/>
      <bottom style="thin"/>
    </border>
    <border>
      <left style="thin"/>
      <right style="thin"/>
      <top style="thin"/>
      <bottom/>
    </border>
    <border>
      <left style="thin"/>
      <right style="thin"/>
      <top/>
      <bottom style="thin"/>
    </border>
    <border>
      <left style="thin"/>
      <right style="hair"/>
      <top style="thin"/>
      <bottom style="hair"/>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36" fillId="0" borderId="0">
      <alignment/>
      <protection/>
    </xf>
    <xf numFmtId="0" fontId="3" fillId="0" borderId="0">
      <alignment/>
      <protection/>
    </xf>
    <xf numFmtId="0" fontId="2"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1" borderId="0" applyNumberFormat="0" applyBorder="0" applyAlignment="0" applyProtection="0"/>
  </cellStyleXfs>
  <cellXfs count="367">
    <xf numFmtId="0" fontId="0" fillId="0" borderId="0" xfId="0" applyAlignment="1">
      <alignment/>
    </xf>
    <xf numFmtId="172" fontId="13" fillId="0" borderId="10" xfId="54" applyNumberFormat="1" applyFont="1" applyFill="1" applyBorder="1" applyAlignment="1" applyProtection="1">
      <alignment horizontal="right" vertical="center"/>
      <protection hidden="1"/>
    </xf>
    <xf numFmtId="0" fontId="9" fillId="0" borderId="0" xfId="0" applyFont="1" applyAlignment="1" applyProtection="1">
      <alignment/>
      <protection hidden="1"/>
    </xf>
    <xf numFmtId="49" fontId="9" fillId="0" borderId="0" xfId="0" applyNumberFormat="1" applyFont="1" applyAlignment="1" applyProtection="1">
      <alignment/>
      <protection hidden="1"/>
    </xf>
    <xf numFmtId="0" fontId="8" fillId="0" borderId="10" xfId="0" applyFont="1" applyBorder="1" applyAlignment="1" applyProtection="1">
      <alignment horizontal="left" wrapText="1"/>
      <protection hidden="1"/>
    </xf>
    <xf numFmtId="3" fontId="9" fillId="0" borderId="0" xfId="0" applyNumberFormat="1" applyFont="1" applyAlignment="1" applyProtection="1">
      <alignment/>
      <protection hidden="1"/>
    </xf>
    <xf numFmtId="0" fontId="3" fillId="0" borderId="0" xfId="54" applyFont="1" applyFill="1" applyAlignment="1" applyProtection="1">
      <alignment horizontal="center" vertical="center"/>
      <protection hidden="1"/>
    </xf>
    <xf numFmtId="49" fontId="3" fillId="0" borderId="0" xfId="54" applyNumberFormat="1" applyFont="1" applyFill="1" applyAlignment="1" applyProtection="1">
      <alignment horizontal="center" vertical="center"/>
      <protection hidden="1"/>
    </xf>
    <xf numFmtId="3" fontId="3" fillId="0" borderId="0" xfId="54" applyNumberFormat="1" applyFont="1" applyFill="1" applyAlignment="1" applyProtection="1">
      <alignment horizontal="center"/>
      <protection hidden="1"/>
    </xf>
    <xf numFmtId="49" fontId="9" fillId="0" borderId="0" xfId="54" applyNumberFormat="1" applyFont="1" applyFill="1" applyProtection="1">
      <alignment/>
      <protection hidden="1"/>
    </xf>
    <xf numFmtId="0" fontId="3" fillId="0" borderId="0" xfId="54" applyFont="1" applyFill="1" applyProtection="1">
      <alignment/>
      <protection hidden="1"/>
    </xf>
    <xf numFmtId="0" fontId="4" fillId="0" borderId="0" xfId="54" applyFont="1" applyFill="1" applyBorder="1" applyAlignment="1" applyProtection="1">
      <alignment horizontal="center" vertical="center"/>
      <protection hidden="1"/>
    </xf>
    <xf numFmtId="0" fontId="9" fillId="0" borderId="0" xfId="54" applyFont="1" applyFill="1" applyBorder="1" applyAlignment="1" applyProtection="1">
      <alignment horizontal="center" vertical="top"/>
      <protection hidden="1"/>
    </xf>
    <xf numFmtId="0" fontId="0" fillId="0" borderId="0" xfId="54" applyFont="1" applyFill="1" applyProtection="1">
      <alignment/>
      <protection hidden="1"/>
    </xf>
    <xf numFmtId="3" fontId="3" fillId="0" borderId="0" xfId="54" applyNumberFormat="1" applyFont="1" applyFill="1" applyProtection="1">
      <alignment/>
      <protection hidden="1"/>
    </xf>
    <xf numFmtId="0" fontId="6" fillId="0" borderId="10" xfId="0" applyFont="1" applyFill="1" applyBorder="1" applyAlignment="1" applyProtection="1">
      <alignment wrapText="1"/>
      <protection hidden="1"/>
    </xf>
    <xf numFmtId="0" fontId="0" fillId="0" borderId="0" xfId="0" applyAlignment="1" applyProtection="1">
      <alignment/>
      <protection hidden="1"/>
    </xf>
    <xf numFmtId="49" fontId="3" fillId="0" borderId="0" xfId="54" applyNumberFormat="1" applyFont="1" applyFill="1" applyProtection="1">
      <alignment/>
      <protection hidden="1"/>
    </xf>
    <xf numFmtId="172" fontId="15" fillId="0" borderId="0" xfId="54" applyNumberFormat="1" applyFont="1" applyFill="1" applyProtection="1">
      <alignment/>
      <protection hidden="1"/>
    </xf>
    <xf numFmtId="0" fontId="9" fillId="0" borderId="0" xfId="0" applyFont="1" applyAlignment="1" applyProtection="1">
      <alignment horizontal="right"/>
      <protection hidden="1"/>
    </xf>
    <xf numFmtId="0" fontId="9" fillId="0" borderId="0" xfId="0" applyFont="1" applyAlignment="1" applyProtection="1">
      <alignment horizontal="left" vertical="top"/>
      <protection hidden="1"/>
    </xf>
    <xf numFmtId="172" fontId="3" fillId="0" borderId="10" xfId="0" applyNumberFormat="1" applyFont="1" applyBorder="1" applyAlignment="1" applyProtection="1">
      <alignment horizontal="right"/>
      <protection hidden="1"/>
    </xf>
    <xf numFmtId="49" fontId="6" fillId="0" borderId="0" xfId="0" applyNumberFormat="1" applyFont="1" applyAlignment="1" applyProtection="1">
      <alignment/>
      <protection hidden="1"/>
    </xf>
    <xf numFmtId="174" fontId="15" fillId="0" borderId="0" xfId="54" applyNumberFormat="1" applyFont="1" applyFill="1" applyProtection="1">
      <alignment/>
      <protection hidden="1"/>
    </xf>
    <xf numFmtId="0" fontId="17" fillId="0" borderId="0" xfId="54" applyFont="1" applyFill="1" applyProtection="1">
      <alignment/>
      <protection hidden="1"/>
    </xf>
    <xf numFmtId="0" fontId="3" fillId="0" borderId="0" xfId="0" applyFont="1" applyAlignment="1" applyProtection="1">
      <alignment/>
      <protection hidden="1"/>
    </xf>
    <xf numFmtId="0" fontId="3" fillId="0" borderId="0" xfId="54" applyFont="1" applyFill="1" applyProtection="1">
      <alignment/>
      <protection hidden="1"/>
    </xf>
    <xf numFmtId="0" fontId="21" fillId="0" borderId="0" xfId="0" applyFont="1" applyAlignment="1" applyProtection="1">
      <alignment/>
      <protection hidden="1"/>
    </xf>
    <xf numFmtId="182" fontId="9" fillId="0" borderId="0" xfId="54" applyNumberFormat="1" applyFont="1" applyFill="1" applyProtection="1">
      <alignment/>
      <protection hidden="1"/>
    </xf>
    <xf numFmtId="182" fontId="12" fillId="0" borderId="10" xfId="0" applyNumberFormat="1" applyFont="1" applyFill="1" applyBorder="1" applyAlignment="1" applyProtection="1">
      <alignment/>
      <protection hidden="1"/>
    </xf>
    <xf numFmtId="0" fontId="3" fillId="32" borderId="0" xfId="54" applyFont="1" applyFill="1" applyProtection="1">
      <alignment/>
      <protection hidden="1"/>
    </xf>
    <xf numFmtId="0" fontId="0" fillId="32" borderId="0" xfId="54" applyFont="1" applyFill="1" applyProtection="1">
      <alignment/>
      <protection hidden="1"/>
    </xf>
    <xf numFmtId="172" fontId="3" fillId="32" borderId="0" xfId="54" applyNumberFormat="1" applyFont="1" applyFill="1" applyProtection="1">
      <alignment/>
      <protection hidden="1"/>
    </xf>
    <xf numFmtId="0" fontId="3" fillId="32" borderId="0" xfId="54" applyFont="1" applyFill="1" applyProtection="1">
      <alignment/>
      <protection hidden="1"/>
    </xf>
    <xf numFmtId="182" fontId="10" fillId="0" borderId="0" xfId="0" applyNumberFormat="1" applyFont="1" applyFill="1" applyAlignment="1" applyProtection="1">
      <alignment horizontal="left"/>
      <protection hidden="1"/>
    </xf>
    <xf numFmtId="182" fontId="0" fillId="0" borderId="0" xfId="0" applyNumberFormat="1" applyFill="1" applyAlignment="1" applyProtection="1">
      <alignment/>
      <protection hidden="1"/>
    </xf>
    <xf numFmtId="172" fontId="12" fillId="0" borderId="10" xfId="0" applyNumberFormat="1" applyFont="1" applyFill="1" applyBorder="1" applyAlignment="1" applyProtection="1">
      <alignment/>
      <protection hidden="1"/>
    </xf>
    <xf numFmtId="172" fontId="3" fillId="0" borderId="10" xfId="0" applyNumberFormat="1" applyFont="1" applyFill="1" applyBorder="1" applyAlignment="1" applyProtection="1">
      <alignment/>
      <protection hidden="1"/>
    </xf>
    <xf numFmtId="172" fontId="13" fillId="0" borderId="10" xfId="0" applyNumberFormat="1" applyFont="1" applyFill="1" applyBorder="1" applyAlignment="1" applyProtection="1">
      <alignment/>
      <protection hidden="1"/>
    </xf>
    <xf numFmtId="0" fontId="0" fillId="0" borderId="0" xfId="0" applyFill="1" applyAlignment="1">
      <alignment/>
    </xf>
    <xf numFmtId="182" fontId="9" fillId="0" borderId="0" xfId="0" applyNumberFormat="1" applyFont="1" applyFill="1" applyBorder="1" applyAlignment="1" applyProtection="1">
      <alignment horizontal="right"/>
      <protection hidden="1"/>
    </xf>
    <xf numFmtId="0" fontId="10" fillId="0" borderId="0" xfId="0" applyFont="1" applyFill="1" applyAlignment="1" applyProtection="1">
      <alignment/>
      <protection hidden="1"/>
    </xf>
    <xf numFmtId="0" fontId="10" fillId="0" borderId="0" xfId="0" applyFont="1" applyAlignment="1">
      <alignment/>
    </xf>
    <xf numFmtId="0" fontId="3" fillId="0" borderId="0" xfId="54" applyFont="1" applyFill="1" applyBorder="1" applyAlignment="1" applyProtection="1">
      <alignment horizontal="center" vertical="center"/>
      <protection hidden="1"/>
    </xf>
    <xf numFmtId="0" fontId="18" fillId="0" borderId="10" xfId="0" applyFont="1" applyBorder="1" applyAlignment="1" applyProtection="1">
      <alignment horizontal="center" vertical="top" wrapText="1"/>
      <protection hidden="1"/>
    </xf>
    <xf numFmtId="0" fontId="25"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27"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18"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10" fillId="0" borderId="10" xfId="0" applyFont="1" applyBorder="1" applyAlignment="1" applyProtection="1">
      <alignment horizontal="center" vertical="top" wrapText="1"/>
      <protection hidden="1"/>
    </xf>
    <xf numFmtId="0" fontId="10" fillId="0" borderId="11" xfId="0" applyFont="1" applyBorder="1" applyAlignment="1" applyProtection="1">
      <alignment horizontal="center" vertical="top" wrapText="1"/>
      <protection hidden="1"/>
    </xf>
    <xf numFmtId="0" fontId="18" fillId="0" borderId="11" xfId="0" applyFont="1" applyBorder="1" applyAlignment="1" applyProtection="1">
      <alignment horizontal="center" vertical="top" wrapText="1"/>
      <protection hidden="1"/>
    </xf>
    <xf numFmtId="0" fontId="10" fillId="0" borderId="11" xfId="0" applyFont="1" applyBorder="1" applyAlignment="1" applyProtection="1">
      <alignment horizontal="left" vertical="top" wrapText="1"/>
      <protection hidden="1"/>
    </xf>
    <xf numFmtId="0" fontId="25" fillId="0" borderId="10" xfId="0" applyFont="1" applyBorder="1" applyAlignment="1" applyProtection="1">
      <alignment vertical="top" wrapText="1"/>
      <protection hidden="1"/>
    </xf>
    <xf numFmtId="0" fontId="28" fillId="0" borderId="10" xfId="0" applyFont="1" applyBorder="1" applyAlignment="1" applyProtection="1">
      <alignment vertical="top" wrapText="1"/>
      <protection hidden="1"/>
    </xf>
    <xf numFmtId="0" fontId="10" fillId="0" borderId="10" xfId="0" applyFont="1" applyBorder="1" applyAlignment="1" applyProtection="1">
      <alignment vertical="top" wrapText="1"/>
      <protection hidden="1"/>
    </xf>
    <xf numFmtId="0" fontId="18" fillId="0" borderId="10" xfId="0" applyFont="1" applyBorder="1" applyAlignment="1" applyProtection="1">
      <alignment horizontal="justify" vertical="top" wrapText="1"/>
      <protection hidden="1"/>
    </xf>
    <xf numFmtId="4" fontId="3" fillId="0" borderId="0" xfId="54" applyNumberFormat="1" applyFont="1" applyFill="1" applyProtection="1">
      <alignment/>
      <protection hidden="1"/>
    </xf>
    <xf numFmtId="0" fontId="10" fillId="0" borderId="0" xfId="0" applyFont="1" applyAlignment="1" applyProtection="1">
      <alignment/>
      <protection hidden="1"/>
    </xf>
    <xf numFmtId="4" fontId="3" fillId="32" borderId="0" xfId="54" applyNumberFormat="1" applyFont="1" applyFill="1" applyProtection="1">
      <alignment/>
      <protection hidden="1"/>
    </xf>
    <xf numFmtId="49" fontId="8" fillId="0" borderId="12" xfId="0" applyNumberFormat="1" applyFont="1" applyBorder="1" applyAlignment="1" applyProtection="1">
      <alignment horizontal="center"/>
      <protection hidden="1"/>
    </xf>
    <xf numFmtId="172" fontId="4" fillId="0" borderId="12" xfId="0" applyNumberFormat="1" applyFont="1" applyBorder="1" applyAlignment="1" applyProtection="1">
      <alignment horizontal="right"/>
      <protection hidden="1"/>
    </xf>
    <xf numFmtId="49" fontId="6" fillId="0" borderId="10" xfId="0" applyNumberFormat="1" applyFont="1" applyBorder="1" applyAlignment="1" applyProtection="1">
      <alignment horizontal="center"/>
      <protection hidden="1"/>
    </xf>
    <xf numFmtId="0" fontId="9" fillId="0" borderId="0" xfId="0" applyFont="1" applyBorder="1" applyAlignment="1" applyProtection="1">
      <alignment/>
      <protection hidden="1"/>
    </xf>
    <xf numFmtId="0" fontId="18" fillId="0" borderId="13" xfId="0" applyFont="1" applyBorder="1" applyAlignment="1" applyProtection="1">
      <alignment horizontal="center" vertical="top" wrapText="1"/>
      <protection hidden="1"/>
    </xf>
    <xf numFmtId="0" fontId="18" fillId="0" borderId="14" xfId="0" applyFont="1" applyBorder="1" applyAlignment="1" applyProtection="1">
      <alignment horizontal="justify" vertical="top" wrapText="1"/>
      <protection hidden="1"/>
    </xf>
    <xf numFmtId="172" fontId="12" fillId="0" borderId="14"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7" xfId="54" applyNumberFormat="1" applyFont="1" applyFill="1" applyBorder="1" applyAlignment="1" applyProtection="1">
      <alignment horizontal="right" vertical="center"/>
      <protection hidden="1"/>
    </xf>
    <xf numFmtId="49" fontId="9" fillId="0" borderId="0" xfId="54" applyNumberFormat="1" applyFont="1" applyFill="1" applyAlignment="1" applyProtection="1">
      <alignment/>
      <protection hidden="1"/>
    </xf>
    <xf numFmtId="182" fontId="10" fillId="0" borderId="18" xfId="0" applyNumberFormat="1" applyFont="1" applyFill="1" applyBorder="1" applyAlignment="1" applyProtection="1">
      <alignment horizontal="left"/>
      <protection hidden="1"/>
    </xf>
    <xf numFmtId="0" fontId="0" fillId="0" borderId="0" xfId="0" applyBorder="1" applyAlignment="1" applyProtection="1">
      <alignment/>
      <protection hidden="1"/>
    </xf>
    <xf numFmtId="182" fontId="9" fillId="0" borderId="0" xfId="54" applyNumberFormat="1" applyFont="1" applyFill="1" applyBorder="1" applyAlignment="1" applyProtection="1">
      <alignment/>
      <protection hidden="1"/>
    </xf>
    <xf numFmtId="182" fontId="10" fillId="0" borderId="0" xfId="0" applyNumberFormat="1" applyFont="1" applyFill="1" applyBorder="1" applyAlignment="1" applyProtection="1">
      <alignment/>
      <protection hidden="1"/>
    </xf>
    <xf numFmtId="189" fontId="3" fillId="32" borderId="0" xfId="54" applyNumberFormat="1" applyFont="1" applyFill="1" applyProtection="1">
      <alignment/>
      <protection hidden="1"/>
    </xf>
    <xf numFmtId="0" fontId="10" fillId="0" borderId="13" xfId="0" applyFont="1" applyBorder="1" applyAlignment="1" applyProtection="1">
      <alignment horizontal="center" vertical="top" wrapText="1"/>
      <protection hidden="1"/>
    </xf>
    <xf numFmtId="0" fontId="10" fillId="0" borderId="14" xfId="0" applyFont="1" applyBorder="1" applyAlignment="1" applyProtection="1">
      <alignment horizontal="justify" vertical="top" wrapText="1"/>
      <protection hidden="1"/>
    </xf>
    <xf numFmtId="172" fontId="12" fillId="33" borderId="10" xfId="0" applyNumberFormat="1" applyFont="1" applyFill="1" applyBorder="1" applyAlignment="1" applyProtection="1">
      <alignment/>
      <protection hidden="1"/>
    </xf>
    <xf numFmtId="172" fontId="3" fillId="33" borderId="10" xfId="0" applyNumberFormat="1" applyFont="1" applyFill="1" applyBorder="1" applyAlignment="1" applyProtection="1">
      <alignment/>
      <protection hidden="1"/>
    </xf>
    <xf numFmtId="182" fontId="10" fillId="0" borderId="0" xfId="0" applyNumberFormat="1" applyFont="1" applyFill="1" applyBorder="1" applyAlignment="1" applyProtection="1">
      <alignment horizontal="center"/>
      <protection hidden="1"/>
    </xf>
    <xf numFmtId="0" fontId="3" fillId="0" borderId="0" xfId="54" applyFont="1" applyFill="1" applyAlignment="1" applyProtection="1">
      <alignment horizontal="left"/>
      <protection hidden="1"/>
    </xf>
    <xf numFmtId="0" fontId="4" fillId="0" borderId="0" xfId="54" applyFont="1" applyFill="1" applyBorder="1" applyAlignment="1" applyProtection="1">
      <alignment horizontal="right" vertical="center"/>
      <protection hidden="1"/>
    </xf>
    <xf numFmtId="0" fontId="5" fillId="0" borderId="0" xfId="54" applyFont="1" applyFill="1" applyBorder="1" applyAlignment="1" applyProtection="1">
      <alignment horizontal="center" vertical="center"/>
      <protection hidden="1" locked="0"/>
    </xf>
    <xf numFmtId="49" fontId="6" fillId="33" borderId="10" xfId="0" applyNumberFormat="1" applyFont="1" applyFill="1" applyBorder="1" applyAlignment="1" applyProtection="1">
      <alignment horizontal="center"/>
      <protection hidden="1"/>
    </xf>
    <xf numFmtId="172" fontId="3" fillId="33" borderId="10" xfId="0" applyNumberFormat="1" applyFont="1" applyFill="1" applyBorder="1" applyAlignment="1" applyProtection="1">
      <alignment horizontal="right"/>
      <protection hidden="1"/>
    </xf>
    <xf numFmtId="0" fontId="6" fillId="33" borderId="10" xfId="0" applyFont="1" applyFill="1" applyBorder="1" applyAlignment="1" applyProtection="1">
      <alignment wrapText="1"/>
      <protection hidden="1"/>
    </xf>
    <xf numFmtId="0" fontId="6" fillId="33" borderId="10" xfId="0" applyFont="1" applyFill="1" applyBorder="1" applyAlignment="1" applyProtection="1">
      <alignment horizontal="center"/>
      <protection hidden="1"/>
    </xf>
    <xf numFmtId="1" fontId="6" fillId="33" borderId="10" xfId="0" applyNumberFormat="1" applyFont="1" applyFill="1" applyBorder="1" applyAlignment="1" applyProtection="1">
      <alignment horizontal="center"/>
      <protection hidden="1"/>
    </xf>
    <xf numFmtId="49" fontId="6" fillId="33" borderId="10" xfId="0" applyNumberFormat="1" applyFont="1" applyFill="1" applyBorder="1" applyAlignment="1" applyProtection="1">
      <alignment horizontal="center" vertical="top"/>
      <protection hidden="1"/>
    </xf>
    <xf numFmtId="49" fontId="8" fillId="33" borderId="10" xfId="0" applyNumberFormat="1" applyFont="1" applyFill="1" applyBorder="1" applyAlignment="1" applyProtection="1">
      <alignment horizontal="center"/>
      <protection hidden="1"/>
    </xf>
    <xf numFmtId="172" fontId="4" fillId="33" borderId="10" xfId="0" applyNumberFormat="1" applyFont="1" applyFill="1" applyBorder="1" applyAlignment="1" applyProtection="1">
      <alignment horizontal="right"/>
      <protection hidden="1"/>
    </xf>
    <xf numFmtId="49" fontId="3" fillId="0" borderId="0" xfId="54" applyNumberFormat="1" applyFont="1" applyFill="1" applyAlignment="1" applyProtection="1">
      <alignment horizontal="center"/>
      <protection hidden="1"/>
    </xf>
    <xf numFmtId="0" fontId="3" fillId="0" borderId="0" xfId="54" applyFont="1" applyFill="1" applyBorder="1" applyAlignment="1" applyProtection="1">
      <alignment horizontal="center"/>
      <protection hidden="1"/>
    </xf>
    <xf numFmtId="172" fontId="3" fillId="0" borderId="0" xfId="54" applyNumberFormat="1" applyFont="1" applyFill="1" applyAlignment="1" applyProtection="1">
      <alignment horizontal="center"/>
      <protection hidden="1"/>
    </xf>
    <xf numFmtId="3" fontId="4" fillId="0" borderId="0" xfId="54" applyNumberFormat="1" applyFont="1" applyFill="1" applyBorder="1" applyAlignment="1" applyProtection="1">
      <alignment horizontal="center" wrapText="1"/>
      <protection hidden="1"/>
    </xf>
    <xf numFmtId="0" fontId="10" fillId="0" borderId="0" xfId="0" applyFont="1" applyAlignment="1">
      <alignment/>
    </xf>
    <xf numFmtId="0" fontId="10" fillId="0" borderId="19" xfId="0" applyFont="1" applyBorder="1" applyAlignment="1" applyProtection="1">
      <alignment horizontal="center" vertical="top" wrapText="1"/>
      <protection hidden="1"/>
    </xf>
    <xf numFmtId="172" fontId="4" fillId="0" borderId="20" xfId="54" applyNumberFormat="1" applyFont="1" applyFill="1" applyBorder="1" applyAlignment="1" applyProtection="1">
      <alignment horizontal="right" vertical="center"/>
      <protection hidden="1"/>
    </xf>
    <xf numFmtId="172" fontId="4" fillId="0" borderId="16" xfId="54" applyNumberFormat="1" applyFont="1" applyFill="1" applyBorder="1" applyAlignment="1" applyProtection="1">
      <alignment horizontal="right" vertical="center"/>
      <protection hidden="1"/>
    </xf>
    <xf numFmtId="172" fontId="12" fillId="0" borderId="16" xfId="54" applyNumberFormat="1" applyFont="1" applyFill="1" applyBorder="1" applyAlignment="1" applyProtection="1">
      <alignment horizontal="right" vertical="center"/>
      <protection hidden="1"/>
    </xf>
    <xf numFmtId="0" fontId="10" fillId="0" borderId="21" xfId="0" applyFont="1" applyBorder="1" applyAlignment="1" applyProtection="1">
      <alignment horizontal="center" vertical="top" wrapText="1"/>
      <protection hidden="1"/>
    </xf>
    <xf numFmtId="0" fontId="10" fillId="0" borderId="22" xfId="0" applyFont="1" applyBorder="1" applyAlignment="1" applyProtection="1">
      <alignment horizontal="justify" vertical="top" wrapText="1"/>
      <protection hidden="1"/>
    </xf>
    <xf numFmtId="0" fontId="6" fillId="33" borderId="0" xfId="0" applyFont="1" applyFill="1" applyBorder="1" applyAlignment="1" applyProtection="1">
      <alignment wrapText="1"/>
      <protection hidden="1"/>
    </xf>
    <xf numFmtId="0" fontId="16" fillId="0" borderId="0" xfId="0" applyFont="1" applyFill="1" applyAlignment="1">
      <alignment wrapText="1"/>
    </xf>
    <xf numFmtId="4" fontId="0" fillId="32" borderId="0" xfId="54" applyNumberFormat="1" applyFont="1" applyFill="1" applyProtection="1">
      <alignment/>
      <protection hidden="1"/>
    </xf>
    <xf numFmtId="4" fontId="3" fillId="32" borderId="0" xfId="54" applyNumberFormat="1" applyFont="1" applyFill="1" applyProtection="1">
      <alignment/>
      <protection hidden="1"/>
    </xf>
    <xf numFmtId="4" fontId="22" fillId="32" borderId="0" xfId="54" applyNumberFormat="1" applyFont="1" applyFill="1" applyProtection="1">
      <alignment/>
      <protection hidden="1"/>
    </xf>
    <xf numFmtId="49" fontId="9" fillId="0" borderId="10" xfId="0" applyNumberFormat="1" applyFont="1" applyFill="1" applyBorder="1" applyAlignment="1">
      <alignment horizontal="center" vertical="top" wrapText="1"/>
    </xf>
    <xf numFmtId="0" fontId="4" fillId="0" borderId="12" xfId="0" applyFont="1" applyBorder="1" applyAlignment="1" applyProtection="1">
      <alignment horizontal="left" wrapText="1"/>
      <protection hidden="1"/>
    </xf>
    <xf numFmtId="0" fontId="3" fillId="0" borderId="10" xfId="0" applyFont="1" applyBorder="1" applyAlignment="1" applyProtection="1">
      <alignment wrapText="1"/>
      <protection hidden="1"/>
    </xf>
    <xf numFmtId="0" fontId="4" fillId="0" borderId="10" xfId="0" applyFont="1" applyBorder="1" applyAlignment="1" applyProtection="1">
      <alignment horizontal="left" wrapText="1"/>
      <protection hidden="1"/>
    </xf>
    <xf numFmtId="0" fontId="3" fillId="33" borderId="10" xfId="0" applyFont="1" applyFill="1" applyBorder="1" applyAlignment="1" applyProtection="1">
      <alignment vertical="center" wrapText="1"/>
      <protection hidden="1"/>
    </xf>
    <xf numFmtId="49" fontId="33"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horizontal="left" wrapText="1"/>
      <protection hidden="1"/>
    </xf>
    <xf numFmtId="0" fontId="3" fillId="33" borderId="10" xfId="0" applyFont="1" applyFill="1" applyBorder="1" applyAlignment="1" applyProtection="1">
      <alignment horizontal="lef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2" fontId="3" fillId="33" borderId="10" xfId="0" applyNumberFormat="1" applyFont="1" applyFill="1" applyBorder="1" applyAlignment="1" applyProtection="1">
      <alignment/>
      <protection hidden="1"/>
    </xf>
    <xf numFmtId="0" fontId="3" fillId="33" borderId="10" xfId="0" applyFont="1" applyFill="1" applyBorder="1" applyAlignment="1" applyProtection="1">
      <alignment horizontal="left" wrapText="1"/>
      <protection hidden="1"/>
    </xf>
    <xf numFmtId="0" fontId="3" fillId="33" borderId="10" xfId="0" applyNumberFormat="1" applyFont="1" applyFill="1" applyBorder="1" applyAlignment="1" applyProtection="1">
      <alignment wrapText="1"/>
      <protection hidden="1"/>
    </xf>
    <xf numFmtId="0" fontId="3" fillId="33" borderId="10" xfId="0" applyNumberFormat="1" applyFont="1" applyFill="1" applyBorder="1" applyAlignment="1" applyProtection="1">
      <alignment vertical="top" wrapText="1"/>
      <protection hidden="1"/>
    </xf>
    <xf numFmtId="0" fontId="3" fillId="33" borderId="10" xfId="0" applyFont="1" applyFill="1" applyBorder="1" applyAlignment="1" applyProtection="1">
      <alignment horizontal="left" vertical="center" wrapText="1"/>
      <protection hidden="1"/>
    </xf>
    <xf numFmtId="49" fontId="33" fillId="33" borderId="10" xfId="0" applyNumberFormat="1" applyFont="1" applyFill="1" applyBorder="1" applyAlignment="1" applyProtection="1">
      <alignment horizontal="left" vertical="top" wrapText="1"/>
      <protection hidden="1"/>
    </xf>
    <xf numFmtId="172" fontId="4" fillId="0" borderId="10" xfId="0" applyNumberFormat="1" applyFont="1" applyBorder="1" applyAlignment="1" applyProtection="1">
      <alignment horizontal="right"/>
      <protection hidden="1"/>
    </xf>
    <xf numFmtId="49" fontId="7" fillId="0" borderId="23" xfId="54" applyNumberFormat="1" applyFont="1" applyFill="1" applyBorder="1" applyAlignment="1" applyProtection="1">
      <alignment horizontal="center" vertical="center" wrapText="1"/>
      <protection hidden="1"/>
    </xf>
    <xf numFmtId="0" fontId="7" fillId="0" borderId="23" xfId="54" applyFont="1" applyFill="1" applyBorder="1" applyAlignment="1" applyProtection="1">
      <alignment horizontal="center" vertical="center" wrapText="1"/>
      <protection hidden="1"/>
    </xf>
    <xf numFmtId="0" fontId="7" fillId="0" borderId="24" xfId="54" applyFont="1" applyFill="1" applyBorder="1" applyAlignment="1" applyProtection="1">
      <alignment horizontal="center" vertical="center" wrapText="1"/>
      <protection hidden="1"/>
    </xf>
    <xf numFmtId="0" fontId="5" fillId="0" borderId="25" xfId="54" applyFont="1" applyFill="1" applyBorder="1" applyAlignment="1" applyProtection="1">
      <alignment horizontal="left" vertical="center"/>
      <protection hidden="1"/>
    </xf>
    <xf numFmtId="49" fontId="8" fillId="0" borderId="25" xfId="54" applyNumberFormat="1" applyFont="1" applyFill="1" applyBorder="1" applyAlignment="1" applyProtection="1">
      <alignment horizontal="center" vertical="center"/>
      <protection hidden="1"/>
    </xf>
    <xf numFmtId="172" fontId="13" fillId="0" borderId="14" xfId="54" applyNumberFormat="1" applyFont="1" applyFill="1" applyBorder="1" applyAlignment="1" applyProtection="1">
      <alignment horizontal="right" vertical="center"/>
      <protection hidden="1"/>
    </xf>
    <xf numFmtId="0" fontId="5"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wrapText="1"/>
      <protection hidden="1"/>
    </xf>
    <xf numFmtId="49" fontId="6" fillId="0" borderId="10" xfId="54" applyNumberFormat="1" applyFont="1" applyFill="1" applyBorder="1" applyAlignment="1" applyProtection="1">
      <alignment horizontal="center" wrapText="1"/>
      <protection hidden="1"/>
    </xf>
    <xf numFmtId="172" fontId="13"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wrapText="1"/>
      <protection hidden="1"/>
    </xf>
    <xf numFmtId="172" fontId="12"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wrapText="1"/>
      <protection hidden="1"/>
    </xf>
    <xf numFmtId="172" fontId="3" fillId="0" borderId="10" xfId="54" applyNumberFormat="1" applyFont="1" applyFill="1" applyBorder="1" applyAlignment="1" applyProtection="1">
      <alignment horizontal="right"/>
      <protection hidden="1"/>
    </xf>
    <xf numFmtId="172" fontId="1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vertical="center" wrapText="1"/>
      <protection hidden="1"/>
    </xf>
    <xf numFmtId="172" fontId="3"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wrapText="1"/>
      <protection hidden="1"/>
    </xf>
    <xf numFmtId="0" fontId="11" fillId="0" borderId="10" xfId="54" applyFont="1" applyFill="1" applyBorder="1" applyAlignment="1" applyProtection="1">
      <alignment horizontal="left" vertical="center" wrapText="1"/>
      <protection hidden="1"/>
    </xf>
    <xf numFmtId="172" fontId="2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3" fillId="0" borderId="10" xfId="54" applyFont="1" applyFill="1" applyBorder="1" applyProtection="1">
      <alignment/>
      <protection hidden="1"/>
    </xf>
    <xf numFmtId="0" fontId="11" fillId="0" borderId="10" xfId="54" applyFont="1" applyFill="1" applyBorder="1" applyAlignment="1" applyProtection="1">
      <alignment horizontal="left" vertical="center" wrapText="1"/>
      <protection hidden="1"/>
    </xf>
    <xf numFmtId="0" fontId="16" fillId="0" borderId="10" xfId="0" applyFont="1" applyBorder="1" applyAlignment="1">
      <alignment wrapText="1"/>
    </xf>
    <xf numFmtId="0" fontId="5" fillId="0" borderId="10" xfId="54" applyFont="1" applyFill="1" applyBorder="1" applyAlignment="1" applyProtection="1">
      <alignment horizontal="left" vertical="center" wrapText="1"/>
      <protection hidden="1"/>
    </xf>
    <xf numFmtId="172" fontId="13" fillId="0" borderId="10" xfId="54" applyNumberFormat="1" applyFont="1" applyFill="1" applyBorder="1" applyAlignment="1" applyProtection="1">
      <alignment horizontal="right"/>
      <protection hidden="1"/>
    </xf>
    <xf numFmtId="49" fontId="8"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protection hidden="1"/>
    </xf>
    <xf numFmtId="0" fontId="11"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protection hidden="1"/>
    </xf>
    <xf numFmtId="0" fontId="6" fillId="0" borderId="10" xfId="0" applyFont="1" applyBorder="1" applyAlignment="1">
      <alignment wrapText="1"/>
    </xf>
    <xf numFmtId="0" fontId="6" fillId="0" borderId="10" xfId="54" applyFont="1" applyFill="1" applyBorder="1" applyAlignment="1" applyProtection="1">
      <alignment wrapText="1"/>
      <protection hidden="1"/>
    </xf>
    <xf numFmtId="172" fontId="12" fillId="0" borderId="10" xfId="54" applyNumberFormat="1" applyFont="1" applyFill="1" applyBorder="1" applyAlignment="1" applyProtection="1">
      <alignment horizontal="right" vertical="center"/>
      <protection hidden="1"/>
    </xf>
    <xf numFmtId="172" fontId="3" fillId="0" borderId="10" xfId="54" applyNumberFormat="1" applyFont="1" applyFill="1" applyBorder="1" applyAlignment="1" applyProtection="1">
      <alignment horizontal="right" vertical="center"/>
      <protection hidden="1"/>
    </xf>
    <xf numFmtId="49" fontId="8" fillId="0" borderId="10" xfId="54" applyNumberFormat="1" applyFont="1" applyFill="1" applyBorder="1" applyAlignment="1" applyProtection="1">
      <alignment horizontal="left" vertical="center" wrapText="1"/>
      <protection hidden="1"/>
    </xf>
    <xf numFmtId="49" fontId="6" fillId="0" borderId="10" xfId="54" applyNumberFormat="1" applyFont="1" applyFill="1" applyBorder="1" applyAlignment="1" applyProtection="1">
      <alignment horizontal="left" wrapText="1"/>
      <protection hidden="1"/>
    </xf>
    <xf numFmtId="0" fontId="6" fillId="0" borderId="10" xfId="0" applyFont="1" applyFill="1" applyBorder="1" applyAlignment="1">
      <alignment wrapText="1"/>
    </xf>
    <xf numFmtId="0" fontId="6" fillId="0" borderId="10" xfId="0" applyFont="1" applyBorder="1" applyAlignment="1">
      <alignment horizontal="left" wrapText="1"/>
    </xf>
    <xf numFmtId="0" fontId="29"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quotePrefix="1">
      <alignment horizontal="center"/>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6" fillId="33" borderId="10" xfId="54" applyFont="1" applyFill="1" applyBorder="1" applyAlignment="1" applyProtection="1">
      <alignment horizontal="left" vertical="center" wrapText="1"/>
      <protection hidden="1"/>
    </xf>
    <xf numFmtId="49" fontId="6" fillId="33" borderId="10" xfId="54" applyNumberFormat="1" applyFont="1" applyFill="1" applyBorder="1" applyAlignment="1" applyProtection="1">
      <alignment horizontal="center" wrapText="1"/>
      <protection hidden="1"/>
    </xf>
    <xf numFmtId="172" fontId="3" fillId="33" borderId="10" xfId="54" applyNumberFormat="1" applyFont="1" applyFill="1" applyBorder="1" applyAlignment="1" applyProtection="1">
      <alignment horizontal="right"/>
      <protection hidden="1"/>
    </xf>
    <xf numFmtId="172" fontId="22" fillId="33" borderId="10" xfId="54"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6" fillId="0" borderId="10" xfId="0" applyFont="1" applyFill="1" applyBorder="1" applyAlignment="1">
      <alignment horizontal="left" wrapText="1"/>
    </xf>
    <xf numFmtId="172" fontId="12" fillId="33" borderId="10" xfId="54" applyNumberFormat="1" applyFont="1" applyFill="1" applyBorder="1" applyAlignment="1" applyProtection="1">
      <alignment horizontal="right"/>
      <protection hidden="1"/>
    </xf>
    <xf numFmtId="0" fontId="6" fillId="0" borderId="10" xfId="0" applyFont="1" applyFill="1" applyBorder="1" applyAlignment="1" applyProtection="1">
      <alignment wrapText="1"/>
      <protection hidden="1"/>
    </xf>
    <xf numFmtId="0" fontId="6" fillId="0" borderId="10" xfId="0" applyFont="1" applyBorder="1" applyAlignment="1" applyProtection="1">
      <alignment horizontal="left" wrapText="1"/>
      <protection hidden="1"/>
    </xf>
    <xf numFmtId="0" fontId="6" fillId="0" borderId="10" xfId="0" applyFont="1" applyFill="1" applyBorder="1" applyAlignment="1" applyProtection="1">
      <alignment horizontal="left" wrapText="1"/>
      <protection hidden="1"/>
    </xf>
    <xf numFmtId="172" fontId="12" fillId="0" borderId="10" xfId="54" applyNumberFormat="1" applyFont="1" applyFill="1" applyBorder="1" applyAlignment="1" applyProtection="1">
      <alignment horizontal="right" vertical="center"/>
      <protection hidden="1"/>
    </xf>
    <xf numFmtId="0" fontId="6" fillId="0" borderId="10" xfId="0" applyFont="1" applyBorder="1" applyAlignment="1" applyProtection="1">
      <alignment horizontal="left" vertical="center" wrapText="1"/>
      <protection hidden="1"/>
    </xf>
    <xf numFmtId="0" fontId="6" fillId="0" borderId="10" xfId="54" applyFont="1" applyFill="1" applyBorder="1" applyAlignment="1" applyProtection="1">
      <alignment horizontal="left" vertical="justify" wrapText="1"/>
      <protection hidden="1"/>
    </xf>
    <xf numFmtId="0" fontId="8" fillId="0" borderId="10" xfId="0" applyFont="1" applyFill="1" applyBorder="1" applyAlignment="1" applyProtection="1">
      <alignment horizontal="left" wrapText="1"/>
      <protection hidden="1"/>
    </xf>
    <xf numFmtId="0" fontId="6" fillId="0" borderId="26" xfId="54" applyFont="1" applyFill="1" applyBorder="1" applyAlignment="1" applyProtection="1">
      <alignment horizontal="right" vertical="center"/>
      <protection hidden="1"/>
    </xf>
    <xf numFmtId="0" fontId="6" fillId="0" borderId="27" xfId="54" applyFont="1" applyFill="1" applyBorder="1" applyAlignment="1" applyProtection="1">
      <alignment horizontal="center" vertical="center"/>
      <protection hidden="1"/>
    </xf>
    <xf numFmtId="49" fontId="6" fillId="0" borderId="28" xfId="54" applyNumberFormat="1" applyFont="1" applyFill="1" applyBorder="1" applyAlignment="1" applyProtection="1">
      <alignment horizontal="center" vertical="center" wrapText="1"/>
      <protection hidden="1"/>
    </xf>
    <xf numFmtId="3" fontId="6" fillId="0" borderId="29" xfId="54" applyNumberFormat="1" applyFont="1" applyFill="1" applyBorder="1" applyAlignment="1" applyProtection="1">
      <alignment horizontal="center" vertical="center"/>
      <protection hidden="1"/>
    </xf>
    <xf numFmtId="0" fontId="5" fillId="4" borderId="12" xfId="54" applyFont="1" applyFill="1" applyBorder="1" applyAlignment="1" applyProtection="1">
      <alignment horizontal="left" vertical="center" wrapText="1"/>
      <protection hidden="1"/>
    </xf>
    <xf numFmtId="49" fontId="5" fillId="4" borderId="12" xfId="54" applyNumberFormat="1" applyFont="1" applyFill="1" applyBorder="1" applyAlignment="1" applyProtection="1">
      <alignment horizontal="center" vertical="center"/>
      <protection hidden="1"/>
    </xf>
    <xf numFmtId="172" fontId="4" fillId="4" borderId="12" xfId="54" applyNumberFormat="1" applyFont="1" applyFill="1" applyBorder="1" applyAlignment="1" applyProtection="1">
      <alignment horizontal="right" vertical="center"/>
      <protection hidden="1"/>
    </xf>
    <xf numFmtId="0" fontId="5" fillId="34" borderId="10" xfId="54" applyFont="1" applyFill="1" applyBorder="1" applyAlignment="1" applyProtection="1">
      <alignment horizontal="left" wrapText="1"/>
      <protection hidden="1"/>
    </xf>
    <xf numFmtId="49" fontId="8" fillId="34" borderId="10" xfId="54" applyNumberFormat="1" applyFont="1" applyFill="1" applyBorder="1" applyAlignment="1" applyProtection="1">
      <alignment horizontal="center" wrapText="1"/>
      <protection hidden="1"/>
    </xf>
    <xf numFmtId="172" fontId="4" fillId="34" borderId="10" xfId="54" applyNumberFormat="1" applyFont="1" applyFill="1" applyBorder="1" applyAlignment="1" applyProtection="1">
      <alignment horizontal="right"/>
      <protection hidden="1"/>
    </xf>
    <xf numFmtId="49" fontId="6" fillId="34" borderId="10" xfId="54" applyNumberFormat="1" applyFont="1" applyFill="1" applyBorder="1" applyAlignment="1" applyProtection="1">
      <alignment horizontal="center" wrapText="1"/>
      <protection hidden="1"/>
    </xf>
    <xf numFmtId="0" fontId="9" fillId="0" borderId="10" xfId="54" applyFont="1" applyFill="1" applyBorder="1" applyAlignment="1" applyProtection="1">
      <alignment horizontal="left" vertical="center" wrapText="1"/>
      <protection hidden="1"/>
    </xf>
    <xf numFmtId="0" fontId="9"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wrapText="1"/>
      <protection hidden="1"/>
    </xf>
    <xf numFmtId="0" fontId="9"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center"/>
      <protection hidden="1"/>
    </xf>
    <xf numFmtId="0" fontId="24" fillId="0" borderId="10" xfId="54" applyFont="1" applyFill="1" applyBorder="1" applyAlignment="1" applyProtection="1">
      <alignment horizontal="left" vertical="center" wrapText="1"/>
      <protection hidden="1"/>
    </xf>
    <xf numFmtId="49" fontId="8" fillId="0" borderId="10" xfId="54" applyNumberFormat="1" applyFont="1" applyFill="1" applyBorder="1" applyAlignment="1" applyProtection="1">
      <alignment horizontal="center" vertical="center"/>
      <protection hidden="1"/>
    </xf>
    <xf numFmtId="49" fontId="3" fillId="0" borderId="10" xfId="54" applyNumberFormat="1" applyFont="1" applyFill="1" applyBorder="1" applyAlignment="1" applyProtection="1">
      <alignment horizontal="center" vertical="center"/>
      <protection hidden="1"/>
    </xf>
    <xf numFmtId="172" fontId="4" fillId="0"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vertical="center"/>
      <protection hidden="1"/>
    </xf>
    <xf numFmtId="0" fontId="5" fillId="0" borderId="30" xfId="54" applyFont="1" applyFill="1" applyBorder="1" applyAlignment="1" applyProtection="1">
      <alignment horizontal="center" vertical="center"/>
      <protection hidden="1"/>
    </xf>
    <xf numFmtId="49" fontId="5" fillId="0" borderId="30" xfId="54" applyNumberFormat="1" applyFont="1" applyFill="1" applyBorder="1" applyAlignment="1" applyProtection="1">
      <alignment horizontal="center" vertical="center" wrapText="1"/>
      <protection hidden="1"/>
    </xf>
    <xf numFmtId="3" fontId="5" fillId="0" borderId="30" xfId="54" applyNumberFormat="1" applyFont="1" applyFill="1" applyBorder="1" applyAlignment="1" applyProtection="1">
      <alignment horizontal="center" vertical="center" wrapText="1"/>
      <protection hidden="1"/>
    </xf>
    <xf numFmtId="0" fontId="31" fillId="4" borderId="10" xfId="0" applyFont="1" applyFill="1" applyBorder="1" applyAlignment="1">
      <alignment horizontal="left" vertical="center" wrapText="1"/>
    </xf>
    <xf numFmtId="49" fontId="8"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protection hidden="1"/>
    </xf>
    <xf numFmtId="0" fontId="29" fillId="0" borderId="10" xfId="0" applyFont="1" applyFill="1" applyBorder="1" applyAlignment="1">
      <alignment vertical="center" wrapText="1"/>
    </xf>
    <xf numFmtId="0" fontId="8" fillId="4" borderId="10" xfId="54" applyFont="1" applyFill="1" applyBorder="1" applyAlignment="1" applyProtection="1">
      <alignment horizontal="left" vertical="center" wrapText="1"/>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protection hidden="1"/>
    </xf>
    <xf numFmtId="172" fontId="3" fillId="0" borderId="10" xfId="54" applyNumberFormat="1" applyFont="1" applyFill="1" applyBorder="1" applyAlignment="1" applyProtection="1">
      <alignment/>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0" fontId="8" fillId="4" borderId="10" xfId="0" applyFont="1" applyFill="1" applyBorder="1" applyAlignment="1" applyProtection="1">
      <alignment wrapText="1"/>
      <protection hidden="1"/>
    </xf>
    <xf numFmtId="0" fontId="8" fillId="0" borderId="10" xfId="54" applyFont="1" applyFill="1" applyBorder="1" applyAlignment="1" applyProtection="1">
      <alignment horizontal="left" wrapText="1"/>
      <protection hidden="1"/>
    </xf>
    <xf numFmtId="172" fontId="4" fillId="0" borderId="10" xfId="54" applyNumberFormat="1" applyFont="1" applyFill="1" applyBorder="1" applyAlignment="1" applyProtection="1">
      <alignment horizontal="right"/>
      <protection hidden="1"/>
    </xf>
    <xf numFmtId="0" fontId="5" fillId="0" borderId="10" xfId="54" applyFont="1" applyFill="1" applyBorder="1" applyAlignment="1" applyProtection="1">
      <alignment horizontal="left" vertical="center"/>
      <protection hidden="1"/>
    </xf>
    <xf numFmtId="49" fontId="3" fillId="0"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horizontal="center" vertical="center"/>
      <protection hidden="1"/>
    </xf>
    <xf numFmtId="3" fontId="3" fillId="0" borderId="10" xfId="54" applyNumberFormat="1" applyFont="1" applyFill="1" applyBorder="1" applyAlignment="1" applyProtection="1">
      <alignment horizontal="center"/>
      <protection hidden="1"/>
    </xf>
    <xf numFmtId="172" fontId="3" fillId="0" borderId="31" xfId="0" applyNumberFormat="1" applyFont="1" applyFill="1" applyBorder="1" applyAlignment="1" applyProtection="1">
      <alignment horizontal="right"/>
      <protection hidden="1"/>
    </xf>
    <xf numFmtId="186" fontId="12" fillId="0" borderId="10" xfId="0" applyNumberFormat="1" applyFont="1" applyFill="1" applyBorder="1" applyAlignment="1" applyProtection="1">
      <alignment/>
      <protection hidden="1"/>
    </xf>
    <xf numFmtId="49" fontId="6" fillId="33" borderId="10" xfId="0" applyNumberFormat="1" applyFont="1" applyFill="1" applyBorder="1" applyAlignment="1" applyProtection="1">
      <alignment horizontal="center" wrapText="1"/>
      <protection hidden="1"/>
    </xf>
    <xf numFmtId="49" fontId="6" fillId="33" borderId="32" xfId="0" applyNumberFormat="1" applyFont="1" applyFill="1" applyBorder="1" applyAlignment="1" applyProtection="1">
      <alignment horizontal="center"/>
      <protection hidden="1"/>
    </xf>
    <xf numFmtId="0" fontId="3" fillId="33" borderId="11" xfId="0" applyFont="1" applyFill="1" applyBorder="1" applyAlignment="1" applyProtection="1">
      <alignment wrapText="1"/>
      <protection hidden="1"/>
    </xf>
    <xf numFmtId="172" fontId="3" fillId="33" borderId="33" xfId="0" applyNumberFormat="1" applyFont="1" applyFill="1" applyBorder="1" applyAlignment="1" applyProtection="1">
      <alignment horizontal="right"/>
      <protection hidden="1"/>
    </xf>
    <xf numFmtId="49" fontId="6" fillId="33" borderId="14" xfId="0" applyNumberFormat="1" applyFont="1" applyFill="1" applyBorder="1" applyAlignment="1" applyProtection="1">
      <alignment horizontal="center"/>
      <protection hidden="1"/>
    </xf>
    <xf numFmtId="0" fontId="16" fillId="0" borderId="10" xfId="0" applyFont="1" applyFill="1" applyBorder="1" applyAlignment="1">
      <alignment horizontal="left" vertical="center" wrapText="1"/>
    </xf>
    <xf numFmtId="0" fontId="6" fillId="0" borderId="0" xfId="54" applyFont="1" applyFill="1" applyAlignment="1" applyProtection="1">
      <alignment horizontal="center"/>
      <protection hidden="1"/>
    </xf>
    <xf numFmtId="0" fontId="6" fillId="0" borderId="0" xfId="54" applyFont="1" applyFill="1" applyAlignment="1" applyProtection="1">
      <alignment wrapText="1"/>
      <protection hidden="1"/>
    </xf>
    <xf numFmtId="0" fontId="6" fillId="0" borderId="0" xfId="54" applyFont="1" applyFill="1" applyAlignment="1" applyProtection="1">
      <alignment horizontal="left" vertical="center" wrapText="1"/>
      <protection hidden="1"/>
    </xf>
    <xf numFmtId="172" fontId="12" fillId="0" borderId="0" xfId="54" applyNumberFormat="1" applyFont="1" applyFill="1" applyProtection="1">
      <alignment/>
      <protection hidden="1"/>
    </xf>
    <xf numFmtId="172" fontId="3" fillId="0" borderId="10" xfId="54" applyNumberFormat="1" applyFont="1" applyFill="1" applyBorder="1" applyProtection="1">
      <alignment/>
      <protection hidden="1"/>
    </xf>
    <xf numFmtId="0" fontId="31" fillId="0" borderId="10" xfId="0" applyFont="1" applyFill="1" applyBorder="1" applyAlignment="1">
      <alignment horizontal="left" vertical="center" wrapText="1"/>
    </xf>
    <xf numFmtId="0" fontId="30" fillId="0" borderId="10" xfId="54" applyFont="1" applyFill="1" applyBorder="1" applyAlignment="1" applyProtection="1">
      <alignment horizontal="left" wrapText="1"/>
      <protection hidden="1"/>
    </xf>
    <xf numFmtId="0" fontId="30" fillId="0" borderId="10" xfId="54" applyFont="1" applyFill="1" applyBorder="1" applyAlignment="1" applyProtection="1">
      <alignment horizontal="left" vertical="center" wrapText="1"/>
      <protection hidden="1"/>
    </xf>
    <xf numFmtId="172" fontId="3" fillId="33" borderId="10" xfId="54" applyNumberFormat="1" applyFont="1" applyFill="1" applyBorder="1" applyAlignment="1" applyProtection="1">
      <alignment horizontal="right"/>
      <protection hidden="1"/>
    </xf>
    <xf numFmtId="0" fontId="30" fillId="0" borderId="10" xfId="0" applyFont="1" applyBorder="1" applyAlignment="1">
      <alignment wrapText="1"/>
    </xf>
    <xf numFmtId="0" fontId="8" fillId="33" borderId="10" xfId="54" applyFont="1" applyFill="1" applyBorder="1" applyAlignment="1" applyProtection="1">
      <alignment horizontal="left" vertical="center" wrapText="1"/>
      <protection hidden="1"/>
    </xf>
    <xf numFmtId="0" fontId="30" fillId="0" borderId="10" xfId="0" applyFont="1" applyFill="1" applyBorder="1" applyAlignment="1" applyProtection="1">
      <alignment wrapText="1"/>
      <protection hidden="1"/>
    </xf>
    <xf numFmtId="0" fontId="34" fillId="0" borderId="10" xfId="0" applyFont="1" applyFill="1" applyBorder="1" applyAlignment="1">
      <alignment vertical="center" wrapText="1"/>
    </xf>
    <xf numFmtId="0" fontId="8" fillId="0" borderId="10" xfId="0" applyFont="1" applyBorder="1" applyAlignment="1">
      <alignment wrapText="1"/>
    </xf>
    <xf numFmtId="0" fontId="8" fillId="0" borderId="0" xfId="54" applyFont="1" applyFill="1" applyAlignment="1" applyProtection="1">
      <alignment wrapText="1"/>
      <protection hidden="1"/>
    </xf>
    <xf numFmtId="0" fontId="8" fillId="0" borderId="0" xfId="54" applyFont="1" applyFill="1" applyAlignment="1" applyProtection="1">
      <alignment horizontal="left" vertical="center" wrapText="1"/>
      <protection hidden="1"/>
    </xf>
    <xf numFmtId="172" fontId="3" fillId="33" borderId="10" xfId="0" applyNumberFormat="1" applyFont="1" applyFill="1" applyBorder="1" applyAlignment="1" applyProtection="1">
      <alignment horizontal="right" vertical="top"/>
      <protection hidden="1"/>
    </xf>
    <xf numFmtId="0" fontId="31" fillId="0" borderId="10" xfId="0" applyFont="1" applyFill="1" applyBorder="1" applyAlignment="1">
      <alignment vertical="center" wrapText="1"/>
    </xf>
    <xf numFmtId="172" fontId="12" fillId="0" borderId="0" xfId="54" applyNumberFormat="1" applyFont="1" applyFill="1" applyAlignment="1" applyProtection="1">
      <alignment horizontal="right"/>
      <protection hidden="1"/>
    </xf>
    <xf numFmtId="172" fontId="12" fillId="0" borderId="0" xfId="54" applyNumberFormat="1" applyFont="1" applyFill="1" applyProtection="1">
      <alignment/>
      <protection hidden="1"/>
    </xf>
    <xf numFmtId="172" fontId="3" fillId="0" borderId="0" xfId="54" applyNumberFormat="1" applyFont="1" applyFill="1" applyProtection="1">
      <alignment/>
      <protection hidden="1"/>
    </xf>
    <xf numFmtId="4" fontId="3" fillId="32" borderId="0" xfId="54" applyNumberFormat="1" applyFont="1" applyFill="1" applyAlignment="1" applyProtection="1">
      <alignment horizontal="center"/>
      <protection hidden="1"/>
    </xf>
    <xf numFmtId="4" fontId="22" fillId="32" borderId="0" xfId="54" applyNumberFormat="1" applyFont="1" applyFill="1" applyAlignment="1" applyProtection="1">
      <alignment horizontal="center"/>
      <protection hidden="1"/>
    </xf>
    <xf numFmtId="172" fontId="6" fillId="0" borderId="10" xfId="54" applyNumberFormat="1" applyFont="1" applyFill="1" applyBorder="1" applyAlignment="1" applyProtection="1">
      <alignment horizontal="center" wrapText="1"/>
      <protection hidden="1"/>
    </xf>
    <xf numFmtId="172" fontId="76" fillId="0" borderId="10" xfId="54" applyNumberFormat="1" applyFont="1" applyFill="1" applyBorder="1" applyAlignment="1" applyProtection="1">
      <alignment horizontal="right"/>
      <protection hidden="1"/>
    </xf>
    <xf numFmtId="4" fontId="35" fillId="32" borderId="0" xfId="54" applyNumberFormat="1" applyFont="1" applyFill="1" applyProtection="1">
      <alignment/>
      <protection hidden="1"/>
    </xf>
    <xf numFmtId="172" fontId="77" fillId="0" borderId="10" xfId="54" applyNumberFormat="1" applyFont="1" applyFill="1" applyBorder="1" applyAlignment="1" applyProtection="1">
      <alignment horizontal="right"/>
      <protection hidden="1"/>
    </xf>
    <xf numFmtId="172" fontId="78" fillId="0" borderId="10" xfId="54" applyNumberFormat="1" applyFont="1" applyFill="1" applyBorder="1" applyAlignment="1" applyProtection="1">
      <alignment horizontal="right"/>
      <protection hidden="1"/>
    </xf>
    <xf numFmtId="3" fontId="0" fillId="0" borderId="0" xfId="54" applyNumberFormat="1" applyFont="1" applyFill="1" applyProtection="1">
      <alignment/>
      <protection hidden="1"/>
    </xf>
    <xf numFmtId="189" fontId="3" fillId="0" borderId="0" xfId="54" applyNumberFormat="1" applyFont="1" applyFill="1" applyProtection="1">
      <alignment/>
      <protection hidden="1"/>
    </xf>
    <xf numFmtId="0" fontId="3" fillId="0" borderId="0" xfId="54" applyFont="1" applyFill="1" applyBorder="1" applyProtection="1">
      <alignment/>
      <protection hidden="1"/>
    </xf>
    <xf numFmtId="0" fontId="6" fillId="0" borderId="10" xfId="0" applyFont="1" applyFill="1" applyBorder="1" applyAlignment="1" applyProtection="1">
      <alignment horizontal="left" vertical="center" wrapText="1"/>
      <protection hidden="1"/>
    </xf>
    <xf numFmtId="0" fontId="16" fillId="0" borderId="10" xfId="0" applyFont="1" applyFill="1" applyBorder="1" applyAlignment="1">
      <alignment wrapText="1"/>
    </xf>
    <xf numFmtId="3" fontId="17" fillId="0" borderId="0" xfId="54" applyNumberFormat="1" applyFont="1" applyFill="1" applyProtection="1">
      <alignment/>
      <protection hidden="1"/>
    </xf>
    <xf numFmtId="0" fontId="3" fillId="0" borderId="0" xfId="54" applyFont="1" applyFill="1" applyAlignment="1" applyProtection="1">
      <alignment/>
      <protection hidden="1"/>
    </xf>
    <xf numFmtId="49" fontId="6" fillId="0" borderId="28" xfId="54" applyNumberFormat="1" applyFont="1" applyFill="1" applyBorder="1" applyAlignment="1" applyProtection="1">
      <alignment horizontal="center" wrapText="1"/>
      <protection hidden="1"/>
    </xf>
    <xf numFmtId="49" fontId="5" fillId="4" borderId="12" xfId="54" applyNumberFormat="1" applyFont="1" applyFill="1" applyBorder="1" applyAlignment="1" applyProtection="1">
      <alignment horizontal="center"/>
      <protection hidden="1"/>
    </xf>
    <xf numFmtId="49" fontId="8" fillId="0" borderId="10" xfId="54" applyNumberFormat="1" applyFont="1" applyFill="1" applyBorder="1" applyAlignment="1" applyProtection="1">
      <alignment horizontal="left" wrapText="1"/>
      <protection hidden="1"/>
    </xf>
    <xf numFmtId="0" fontId="5" fillId="35" borderId="10" xfId="54" applyFont="1" applyFill="1" applyBorder="1" applyAlignment="1" applyProtection="1">
      <alignment horizontal="left" wrapText="1"/>
      <protection hidden="1"/>
    </xf>
    <xf numFmtId="49" fontId="8" fillId="35" borderId="10" xfId="54" applyNumberFormat="1" applyFont="1" applyFill="1" applyBorder="1" applyAlignment="1" applyProtection="1">
      <alignment horizontal="center" wrapText="1"/>
      <protection hidden="1"/>
    </xf>
    <xf numFmtId="49" fontId="8" fillId="35" borderId="10" xfId="54" applyNumberFormat="1" applyFont="1" applyFill="1" applyBorder="1" applyAlignment="1" applyProtection="1">
      <alignment horizontal="center" wrapText="1"/>
      <protection hidden="1"/>
    </xf>
    <xf numFmtId="172" fontId="4" fillId="35" borderId="10" xfId="54" applyNumberFormat="1" applyFont="1" applyFill="1" applyBorder="1" applyAlignment="1" applyProtection="1">
      <alignment horizontal="right"/>
      <protection hidden="1"/>
    </xf>
    <xf numFmtId="0" fontId="8" fillId="36" borderId="10" xfId="54" applyFont="1" applyFill="1" applyBorder="1" applyAlignment="1" applyProtection="1">
      <alignment horizontal="left" vertical="center" wrapText="1"/>
      <protection hidden="1"/>
    </xf>
    <xf numFmtId="49" fontId="6" fillId="36" borderId="10" xfId="54" applyNumberFormat="1" applyFont="1" applyFill="1" applyBorder="1" applyAlignment="1" applyProtection="1">
      <alignment horizontal="center" wrapText="1"/>
      <protection hidden="1"/>
    </xf>
    <xf numFmtId="172" fontId="12" fillId="36" borderId="10" xfId="54" applyNumberFormat="1" applyFont="1" applyFill="1" applyBorder="1" applyAlignment="1" applyProtection="1">
      <alignment horizontal="right"/>
      <protection hidden="1"/>
    </xf>
    <xf numFmtId="0" fontId="11"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wrapText="1"/>
      <protection hidden="1"/>
    </xf>
    <xf numFmtId="172" fontId="3" fillId="36" borderId="10" xfId="54" applyNumberFormat="1" applyFont="1" applyFill="1" applyBorder="1" applyAlignment="1" applyProtection="1">
      <alignment horizontal="right"/>
      <protection hidden="1"/>
    </xf>
    <xf numFmtId="172" fontId="77" fillId="36" borderId="10" xfId="54" applyNumberFormat="1" applyFont="1" applyFill="1" applyBorder="1" applyAlignment="1" applyProtection="1">
      <alignment horizontal="right"/>
      <protection hidden="1"/>
    </xf>
    <xf numFmtId="172" fontId="22" fillId="36" borderId="10" xfId="54" applyNumberFormat="1" applyFont="1" applyFill="1" applyBorder="1" applyAlignment="1" applyProtection="1">
      <alignment horizontal="right"/>
      <protection hidden="1"/>
    </xf>
    <xf numFmtId="0" fontId="6" fillId="36" borderId="10" xfId="54" applyFont="1" applyFill="1" applyBorder="1" applyAlignment="1" applyProtection="1">
      <alignment wrapText="1"/>
      <protection hidden="1"/>
    </xf>
    <xf numFmtId="172" fontId="79" fillId="0" borderId="10" xfId="54" applyNumberFormat="1" applyFont="1" applyFill="1" applyBorder="1" applyAlignment="1" applyProtection="1">
      <alignment horizontal="right"/>
      <protection hidden="1"/>
    </xf>
    <xf numFmtId="0" fontId="8" fillId="37" borderId="10" xfId="54" applyFont="1" applyFill="1" applyBorder="1" applyAlignment="1" applyProtection="1">
      <alignment horizontal="left" vertical="center" wrapText="1"/>
      <protection hidden="1"/>
    </xf>
    <xf numFmtId="49" fontId="6" fillId="37" borderId="10" xfId="54" applyNumberFormat="1" applyFont="1" applyFill="1" applyBorder="1" applyAlignment="1" applyProtection="1">
      <alignment horizontal="center" wrapText="1"/>
      <protection hidden="1"/>
    </xf>
    <xf numFmtId="172" fontId="4" fillId="37" borderId="10" xfId="54" applyNumberFormat="1" applyFont="1" applyFill="1" applyBorder="1" applyAlignment="1" applyProtection="1">
      <alignment horizontal="right"/>
      <protection hidden="1"/>
    </xf>
    <xf numFmtId="0" fontId="34" fillId="0" borderId="0" xfId="0" applyFont="1" applyFill="1" applyAlignment="1">
      <alignment wrapText="1"/>
    </xf>
    <xf numFmtId="172" fontId="77" fillId="0" borderId="10" xfId="54" applyNumberFormat="1" applyFont="1" applyFill="1" applyBorder="1" applyAlignment="1" applyProtection="1">
      <alignment horizontal="right"/>
      <protection hidden="1"/>
    </xf>
    <xf numFmtId="0" fontId="80" fillId="0" borderId="0" xfId="0" applyFont="1" applyAlignment="1">
      <alignment wrapText="1"/>
    </xf>
    <xf numFmtId="0" fontId="80" fillId="0" borderId="0" xfId="0" applyFont="1" applyFill="1" applyAlignment="1">
      <alignment wrapText="1"/>
    </xf>
    <xf numFmtId="172" fontId="3" fillId="0" borderId="0" xfId="54" applyNumberFormat="1" applyFont="1" applyFill="1" applyBorder="1" applyAlignment="1" applyProtection="1">
      <alignment horizontal="right"/>
      <protection hidden="1"/>
    </xf>
    <xf numFmtId="0" fontId="80" fillId="0" borderId="10" xfId="0" applyFont="1" applyFill="1" applyBorder="1" applyAlignment="1">
      <alignment wrapText="1"/>
    </xf>
    <xf numFmtId="172" fontId="81" fillId="0" borderId="10" xfId="54" applyNumberFormat="1" applyFont="1" applyFill="1" applyBorder="1" applyAlignment="1" applyProtection="1">
      <alignment horizontal="right"/>
      <protection hidden="1"/>
    </xf>
    <xf numFmtId="172" fontId="3" fillId="0" borderId="0" xfId="54" applyNumberFormat="1" applyFont="1" applyFill="1" applyBorder="1" applyAlignment="1" applyProtection="1">
      <alignment horizontal="right"/>
      <protection hidden="1"/>
    </xf>
    <xf numFmtId="172" fontId="76" fillId="0" borderId="10" xfId="54" applyNumberFormat="1" applyFont="1" applyFill="1" applyBorder="1" applyAlignment="1" applyProtection="1">
      <alignment horizontal="right"/>
      <protection hidden="1"/>
    </xf>
    <xf numFmtId="172" fontId="3" fillId="32" borderId="0" xfId="54" applyNumberFormat="1" applyFont="1" applyFill="1" applyAlignment="1" applyProtection="1">
      <alignment wrapText="1"/>
      <protection hidden="1"/>
    </xf>
    <xf numFmtId="49" fontId="9" fillId="0" borderId="10" xfId="0" applyNumberFormat="1" applyFont="1" applyFill="1" applyBorder="1" applyAlignment="1">
      <alignment horizontal="center" wrapText="1"/>
    </xf>
    <xf numFmtId="172" fontId="12" fillId="0" borderId="11" xfId="54" applyNumberFormat="1" applyFont="1" applyFill="1" applyBorder="1" applyAlignment="1" applyProtection="1">
      <alignment horizontal="right"/>
      <protection hidden="1"/>
    </xf>
    <xf numFmtId="0" fontId="80" fillId="0" borderId="10" xfId="0" applyFont="1" applyBorder="1" applyAlignment="1">
      <alignment wrapText="1"/>
    </xf>
    <xf numFmtId="0" fontId="80" fillId="0" borderId="0" xfId="0" applyFont="1" applyAlignment="1">
      <alignment/>
    </xf>
    <xf numFmtId="172" fontId="77" fillId="0" borderId="10" xfId="54" applyNumberFormat="1" applyFont="1" applyFill="1" applyBorder="1" applyAlignment="1" applyProtection="1">
      <alignment horizontal="right" vertical="center"/>
      <protection hidden="1"/>
    </xf>
    <xf numFmtId="172" fontId="77" fillId="0" borderId="10" xfId="54" applyNumberFormat="1" applyFont="1" applyFill="1" applyBorder="1" applyAlignment="1" applyProtection="1">
      <alignment horizontal="right"/>
      <protection hidden="1"/>
    </xf>
    <xf numFmtId="0" fontId="80" fillId="0" borderId="0" xfId="0" applyFont="1" applyAlignment="1">
      <alignment wrapText="1"/>
    </xf>
    <xf numFmtId="0" fontId="80" fillId="0" borderId="10" xfId="0" applyFont="1" applyBorder="1" applyAlignment="1">
      <alignment wrapText="1"/>
    </xf>
    <xf numFmtId="0" fontId="6" fillId="36" borderId="10" xfId="0" applyFont="1" applyFill="1" applyBorder="1" applyAlignment="1" applyProtection="1">
      <alignment horizontal="left" wrapText="1"/>
      <protection hidden="1"/>
    </xf>
    <xf numFmtId="0" fontId="82" fillId="0" borderId="0" xfId="0" applyFont="1" applyAlignment="1">
      <alignment vertical="center" wrapText="1"/>
    </xf>
    <xf numFmtId="0" fontId="80" fillId="0" borderId="33" xfId="0" applyFont="1" applyBorder="1" applyAlignment="1">
      <alignment vertical="center" wrapText="1"/>
    </xf>
    <xf numFmtId="172" fontId="12" fillId="0" borderId="0" xfId="54" applyNumberFormat="1" applyFont="1" applyFill="1" applyBorder="1" applyAlignment="1" applyProtection="1">
      <alignment horizontal="right"/>
      <protection hidden="1"/>
    </xf>
    <xf numFmtId="0" fontId="5" fillId="0" borderId="0" xfId="0" applyFont="1" applyFill="1" applyAlignment="1" applyProtection="1">
      <alignment horizontal="center"/>
      <protection hidden="1"/>
    </xf>
    <xf numFmtId="0" fontId="3" fillId="0" borderId="34"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49" fontId="7" fillId="0" borderId="36" xfId="0" applyNumberFormat="1" applyFont="1" applyBorder="1" applyAlignment="1" applyProtection="1">
      <alignment horizontal="center" vertical="center" wrapText="1"/>
      <protection hidden="1"/>
    </xf>
    <xf numFmtId="49" fontId="7" fillId="0" borderId="26" xfId="0" applyNumberFormat="1" applyFont="1" applyBorder="1" applyAlignment="1" applyProtection="1">
      <alignment horizontal="center" vertical="center" wrapText="1"/>
      <protection hidden="1"/>
    </xf>
    <xf numFmtId="0" fontId="7" fillId="0" borderId="36"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23" fillId="0" borderId="10" xfId="54" applyFont="1" applyFill="1" applyBorder="1" applyAlignment="1" applyProtection="1">
      <alignment horizontal="left" vertical="center" wrapText="1"/>
      <protection hidden="1"/>
    </xf>
    <xf numFmtId="0" fontId="4" fillId="0" borderId="0" xfId="54" applyFont="1" applyFill="1" applyAlignment="1" applyProtection="1">
      <alignment horizontal="center" vertical="center"/>
      <protection hidden="1"/>
    </xf>
    <xf numFmtId="3" fontId="4" fillId="0" borderId="0" xfId="54" applyNumberFormat="1" applyFont="1" applyFill="1" applyBorder="1" applyAlignment="1" applyProtection="1">
      <alignment horizontal="center" wrapText="1"/>
      <protection hidden="1"/>
    </xf>
    <xf numFmtId="0" fontId="4" fillId="0" borderId="0" xfId="54" applyFont="1" applyFill="1" applyBorder="1" applyAlignment="1" applyProtection="1">
      <alignment horizontal="center" vertical="center"/>
      <protection hidden="1" locked="0"/>
    </xf>
    <xf numFmtId="0" fontId="7" fillId="0" borderId="37" xfId="54" applyFont="1" applyFill="1" applyBorder="1" applyAlignment="1" applyProtection="1">
      <alignment horizontal="center" vertical="center"/>
      <protection hidden="1"/>
    </xf>
    <xf numFmtId="0" fontId="7" fillId="0" borderId="38" xfId="54" applyFont="1" applyFill="1" applyBorder="1" applyAlignment="1" applyProtection="1">
      <alignment horizontal="center" vertical="center"/>
      <protection hidden="1"/>
    </xf>
    <xf numFmtId="49" fontId="7" fillId="0" borderId="39" xfId="54" applyNumberFormat="1" applyFont="1" applyFill="1" applyBorder="1" applyAlignment="1" applyProtection="1">
      <alignment horizontal="center" vertical="center" wrapText="1"/>
      <protection hidden="1"/>
    </xf>
    <xf numFmtId="49" fontId="7" fillId="0" borderId="40" xfId="54" applyNumberFormat="1" applyFont="1" applyFill="1" applyBorder="1" applyAlignment="1" applyProtection="1">
      <alignment horizontal="center" vertical="center" wrapText="1"/>
      <protection hidden="1"/>
    </xf>
    <xf numFmtId="49" fontId="7" fillId="0" borderId="41" xfId="54" applyNumberFormat="1" applyFont="1" applyFill="1" applyBorder="1" applyAlignment="1" applyProtection="1">
      <alignment horizontal="center" vertical="center" wrapText="1"/>
      <protection hidden="1"/>
    </xf>
    <xf numFmtId="3" fontId="7" fillId="0" borderId="42" xfId="54" applyNumberFormat="1" applyFont="1" applyFill="1" applyBorder="1" applyAlignment="1" applyProtection="1">
      <alignment horizontal="center" vertical="center"/>
      <protection hidden="1"/>
    </xf>
    <xf numFmtId="3" fontId="7" fillId="0" borderId="43" xfId="54" applyNumberFormat="1" applyFont="1" applyFill="1" applyBorder="1" applyAlignment="1" applyProtection="1">
      <alignment horizontal="center" vertical="center"/>
      <protection hidden="1"/>
    </xf>
    <xf numFmtId="0" fontId="7" fillId="0" borderId="39" xfId="54" applyFont="1" applyFill="1" applyBorder="1" applyAlignment="1" applyProtection="1">
      <alignment horizontal="center" vertical="center"/>
      <protection hidden="1"/>
    </xf>
    <xf numFmtId="0" fontId="7" fillId="0" borderId="44" xfId="54" applyFont="1" applyFill="1" applyBorder="1" applyAlignment="1" applyProtection="1">
      <alignment horizontal="center" vertical="center"/>
      <protection hidden="1"/>
    </xf>
    <xf numFmtId="0" fontId="4" fillId="0" borderId="0" xfId="54" applyFont="1" applyFill="1" applyBorder="1" applyAlignment="1" applyProtection="1">
      <alignment horizontal="center" vertical="center"/>
      <protection hidden="1"/>
    </xf>
    <xf numFmtId="0" fontId="4" fillId="0" borderId="0" xfId="54" applyFont="1" applyFill="1" applyAlignment="1" applyProtection="1">
      <alignment horizontal="center" vertical="center" wrapText="1"/>
      <protection hidden="1"/>
    </xf>
    <xf numFmtId="0" fontId="9" fillId="0" borderId="15" xfId="0" applyFont="1" applyBorder="1" applyAlignment="1" applyProtection="1">
      <alignment horizontal="left" wrapText="1"/>
      <protection hidden="1"/>
    </xf>
    <xf numFmtId="0" fontId="9" fillId="0" borderId="10" xfId="0" applyFont="1" applyBorder="1" applyAlignment="1" applyProtection="1">
      <alignment horizontal="left" wrapText="1"/>
      <protection hidden="1"/>
    </xf>
    <xf numFmtId="0" fontId="5" fillId="0" borderId="15" xfId="0" applyFont="1" applyBorder="1" applyAlignment="1" applyProtection="1">
      <alignment horizontal="left"/>
      <protection hidden="1"/>
    </xf>
    <xf numFmtId="0" fontId="5" fillId="0" borderId="10" xfId="0" applyFont="1" applyBorder="1" applyAlignment="1" applyProtection="1">
      <alignment horizontal="left"/>
      <protection hidden="1"/>
    </xf>
    <xf numFmtId="3" fontId="4" fillId="0" borderId="0" xfId="0" applyNumberFormat="1" applyFont="1" applyFill="1" applyBorder="1" applyAlignment="1" applyProtection="1">
      <alignment horizontal="center"/>
      <protection hidden="1"/>
    </xf>
    <xf numFmtId="0" fontId="10" fillId="0" borderId="45" xfId="0" applyFont="1" applyBorder="1" applyAlignment="1" applyProtection="1">
      <alignment horizontal="center" vertical="center" wrapText="1"/>
      <protection hidden="1"/>
    </xf>
    <xf numFmtId="0" fontId="10" fillId="0" borderId="46" xfId="0" applyFont="1" applyBorder="1" applyAlignment="1" applyProtection="1">
      <alignment horizontal="center" vertical="center" wrapText="1"/>
      <protection hidden="1"/>
    </xf>
    <xf numFmtId="0" fontId="10" fillId="0" borderId="45" xfId="0" applyFont="1" applyBorder="1" applyAlignment="1" applyProtection="1">
      <alignment horizontal="center" vertical="top" wrapText="1"/>
      <protection hidden="1"/>
    </xf>
    <xf numFmtId="0" fontId="10" fillId="0" borderId="46" xfId="0" applyFont="1" applyBorder="1" applyAlignment="1" applyProtection="1">
      <alignment horizontal="center" vertical="top" wrapText="1"/>
      <protection hidden="1"/>
    </xf>
    <xf numFmtId="182" fontId="9" fillId="0" borderId="45" xfId="54" applyNumberFormat="1" applyFont="1" applyFill="1" applyBorder="1" applyAlignment="1" applyProtection="1">
      <alignment horizontal="center" vertical="center"/>
      <protection hidden="1"/>
    </xf>
    <xf numFmtId="182" fontId="9" fillId="0" borderId="46" xfId="54" applyNumberFormat="1" applyFont="1" applyFill="1" applyBorder="1" applyAlignment="1" applyProtection="1">
      <alignment horizontal="center" vertical="center"/>
      <protection hidden="1"/>
    </xf>
    <xf numFmtId="0" fontId="5" fillId="0" borderId="47" xfId="0" applyFont="1" applyBorder="1" applyAlignment="1" applyProtection="1">
      <alignment horizontal="left"/>
      <protection hidden="1"/>
    </xf>
    <xf numFmtId="0" fontId="5" fillId="0" borderId="48" xfId="0" applyFont="1" applyBorder="1" applyAlignment="1" applyProtection="1">
      <alignment horizontal="left"/>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Прил №2 - ФКР - Бюджет 200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35"/>
  <sheetViews>
    <sheetView showGridLines="0" view="pageBreakPreview" zoomScaleSheetLayoutView="100" workbookViewId="0" topLeftCell="A1">
      <selection activeCell="B3" sqref="B3"/>
    </sheetView>
  </sheetViews>
  <sheetFormatPr defaultColWidth="8.50390625" defaultRowHeight="12.75"/>
  <cols>
    <col min="1" max="1" width="109.50390625" style="25" customWidth="1"/>
    <col min="2" max="2" width="19.875" style="3" customWidth="1"/>
    <col min="3" max="3" width="18.50390625" style="19" customWidth="1"/>
    <col min="4" max="16384" width="8.50390625" style="2" customWidth="1"/>
  </cols>
  <sheetData>
    <row r="1" ht="15">
      <c r="B1" s="81" t="s">
        <v>1015</v>
      </c>
    </row>
    <row r="2" spans="2:3" ht="15">
      <c r="B2" s="9" t="s">
        <v>31</v>
      </c>
      <c r="C2"/>
    </row>
    <row r="3" spans="2:3" ht="15">
      <c r="B3" s="41" t="s">
        <v>1815</v>
      </c>
      <c r="C3"/>
    </row>
    <row r="4" spans="2:3" ht="15">
      <c r="B4" s="62"/>
      <c r="C4" s="62"/>
    </row>
    <row r="5" spans="2:3" ht="15">
      <c r="B5" s="81" t="s">
        <v>1016</v>
      </c>
      <c r="C5" s="62"/>
    </row>
    <row r="6" spans="2:3" ht="15">
      <c r="B6" s="9" t="s">
        <v>31</v>
      </c>
      <c r="C6" s="62"/>
    </row>
    <row r="7" spans="2:3" ht="15">
      <c r="B7" s="41" t="s">
        <v>1518</v>
      </c>
      <c r="C7" s="62"/>
    </row>
    <row r="8" spans="2:3" ht="15">
      <c r="B8" s="9"/>
      <c r="C8" s="39"/>
    </row>
    <row r="9" spans="2:3" ht="15">
      <c r="B9" s="81"/>
      <c r="C9" s="39"/>
    </row>
    <row r="11" spans="1:3" ht="12.75">
      <c r="A11" s="332" t="s">
        <v>1525</v>
      </c>
      <c r="B11" s="332"/>
      <c r="C11" s="332"/>
    </row>
    <row r="12" ht="15.75" thickBot="1">
      <c r="C12" s="19" t="s">
        <v>32</v>
      </c>
    </row>
    <row r="13" spans="1:3" ht="12.75">
      <c r="A13" s="333" t="s">
        <v>1164</v>
      </c>
      <c r="B13" s="335" t="s">
        <v>721</v>
      </c>
      <c r="C13" s="337" t="s">
        <v>661</v>
      </c>
    </row>
    <row r="14" spans="1:3" ht="13.5" thickBot="1">
      <c r="A14" s="334"/>
      <c r="B14" s="336"/>
      <c r="C14" s="338"/>
    </row>
    <row r="15" spans="1:3" s="20" customFormat="1" ht="15">
      <c r="A15" s="120" t="s">
        <v>420</v>
      </c>
      <c r="B15" s="64" t="s">
        <v>392</v>
      </c>
      <c r="C15" s="65">
        <f>C16+C21+C27+C43+C51+C56+C71+C89+C95+C100+C115+C142</f>
        <v>3882512.3</v>
      </c>
    </row>
    <row r="16" spans="1:3" ht="15">
      <c r="A16" s="121" t="s">
        <v>393</v>
      </c>
      <c r="B16" s="66" t="s">
        <v>394</v>
      </c>
      <c r="C16" s="21">
        <f>C17</f>
        <v>1149650.9</v>
      </c>
    </row>
    <row r="17" spans="1:3" ht="15">
      <c r="A17" s="122" t="s">
        <v>426</v>
      </c>
      <c r="B17" s="66" t="s">
        <v>427</v>
      </c>
      <c r="C17" s="21">
        <f>C18+C19+C20</f>
        <v>1149650.9</v>
      </c>
    </row>
    <row r="18" spans="1:3" ht="49.5">
      <c r="A18" s="123" t="s">
        <v>525</v>
      </c>
      <c r="B18" s="95" t="s">
        <v>970</v>
      </c>
      <c r="C18" s="96">
        <f>991535+27000+28315.9</f>
        <v>1046850.9</v>
      </c>
    </row>
    <row r="19" spans="1:3" ht="62.25">
      <c r="A19" s="123" t="s">
        <v>406</v>
      </c>
      <c r="B19" s="95" t="s">
        <v>1162</v>
      </c>
      <c r="C19" s="96">
        <v>1500</v>
      </c>
    </row>
    <row r="20" spans="1:3" ht="30.75">
      <c r="A20" s="124" t="s">
        <v>1134</v>
      </c>
      <c r="B20" s="95" t="s">
        <v>1127</v>
      </c>
      <c r="C20" s="96">
        <f>7300+94000</f>
        <v>101300</v>
      </c>
    </row>
    <row r="21" spans="1:3" ht="30.75">
      <c r="A21" s="125" t="s">
        <v>1156</v>
      </c>
      <c r="B21" s="95" t="s">
        <v>1157</v>
      </c>
      <c r="C21" s="96">
        <f>C22</f>
        <v>88000</v>
      </c>
    </row>
    <row r="22" spans="1:3" ht="15">
      <c r="A22" s="126" t="s">
        <v>66</v>
      </c>
      <c r="B22" s="95" t="s">
        <v>67</v>
      </c>
      <c r="C22" s="96">
        <f>C23+C24+C25+C26</f>
        <v>88000</v>
      </c>
    </row>
    <row r="23" spans="1:3" ht="46.5">
      <c r="A23" s="125" t="s">
        <v>1052</v>
      </c>
      <c r="B23" s="95" t="s">
        <v>1158</v>
      </c>
      <c r="C23" s="96">
        <v>25000</v>
      </c>
    </row>
    <row r="24" spans="1:3" ht="46.5">
      <c r="A24" s="125" t="s">
        <v>1053</v>
      </c>
      <c r="B24" s="95" t="s">
        <v>1159</v>
      </c>
      <c r="C24" s="96">
        <v>800</v>
      </c>
    </row>
    <row r="25" spans="1:3" ht="46.5">
      <c r="A25" s="125" t="s">
        <v>376</v>
      </c>
      <c r="B25" s="95" t="s">
        <v>1160</v>
      </c>
      <c r="C25" s="96">
        <v>61300</v>
      </c>
    </row>
    <row r="26" spans="1:3" ht="46.5">
      <c r="A26" s="125" t="s">
        <v>260</v>
      </c>
      <c r="B26" s="95" t="s">
        <v>1161</v>
      </c>
      <c r="C26" s="96">
        <v>900</v>
      </c>
    </row>
    <row r="27" spans="1:3" ht="15">
      <c r="A27" s="125" t="s">
        <v>632</v>
      </c>
      <c r="B27" s="95" t="s">
        <v>633</v>
      </c>
      <c r="C27" s="96">
        <f>C36+C39+C28+C41</f>
        <v>384316</v>
      </c>
    </row>
    <row r="28" spans="1:3" ht="15">
      <c r="A28" s="126" t="s">
        <v>1112</v>
      </c>
      <c r="B28" s="95" t="s">
        <v>1113</v>
      </c>
      <c r="C28" s="96">
        <f>C29+C32+C35</f>
        <v>270500</v>
      </c>
    </row>
    <row r="29" spans="1:3" ht="15">
      <c r="A29" s="127" t="s">
        <v>154</v>
      </c>
      <c r="B29" s="95" t="s">
        <v>155</v>
      </c>
      <c r="C29" s="96">
        <f>C30+C31</f>
        <v>210000</v>
      </c>
    </row>
    <row r="30" spans="1:3" ht="15">
      <c r="A30" s="127" t="s">
        <v>154</v>
      </c>
      <c r="B30" s="95" t="s">
        <v>156</v>
      </c>
      <c r="C30" s="96">
        <f>170000+15000+25000</f>
        <v>210000</v>
      </c>
    </row>
    <row r="31" spans="1:3" ht="30.75">
      <c r="A31" s="127" t="s">
        <v>689</v>
      </c>
      <c r="B31" s="95" t="s">
        <v>892</v>
      </c>
      <c r="C31" s="96">
        <f>40000-40000</f>
        <v>0</v>
      </c>
    </row>
    <row r="32" spans="1:3" ht="30.75">
      <c r="A32" s="127" t="s">
        <v>893</v>
      </c>
      <c r="B32" s="95" t="s">
        <v>894</v>
      </c>
      <c r="C32" s="96">
        <f>C33+C34</f>
        <v>60000</v>
      </c>
    </row>
    <row r="33" spans="1:3" ht="30.75">
      <c r="A33" s="127" t="s">
        <v>893</v>
      </c>
      <c r="B33" s="95" t="s">
        <v>895</v>
      </c>
      <c r="C33" s="96">
        <f>28000+2000+30000</f>
        <v>60000</v>
      </c>
    </row>
    <row r="34" spans="1:3" ht="30.75">
      <c r="A34" s="127" t="s">
        <v>1139</v>
      </c>
      <c r="B34" s="95" t="s">
        <v>1000</v>
      </c>
      <c r="C34" s="96">
        <f>10000-50-9950</f>
        <v>0</v>
      </c>
    </row>
    <row r="35" spans="1:3" ht="30.75">
      <c r="A35" s="127" t="s">
        <v>1723</v>
      </c>
      <c r="B35" s="95" t="s">
        <v>453</v>
      </c>
      <c r="C35" s="96">
        <f>12500-2000-10000</f>
        <v>500</v>
      </c>
    </row>
    <row r="36" spans="1:3" ht="15">
      <c r="A36" s="128" t="s">
        <v>83</v>
      </c>
      <c r="B36" s="95" t="s">
        <v>503</v>
      </c>
      <c r="C36" s="96">
        <f>C37+C38</f>
        <v>92800</v>
      </c>
    </row>
    <row r="37" spans="1:3" ht="15">
      <c r="A37" s="129" t="s">
        <v>83</v>
      </c>
      <c r="B37" s="95" t="s">
        <v>36</v>
      </c>
      <c r="C37" s="96">
        <f>97800-5000</f>
        <v>92800</v>
      </c>
    </row>
    <row r="38" spans="1:3" ht="30.75">
      <c r="A38" s="129" t="s">
        <v>281</v>
      </c>
      <c r="B38" s="95" t="s">
        <v>282</v>
      </c>
      <c r="C38" s="96">
        <f>1000-500-500</f>
        <v>0</v>
      </c>
    </row>
    <row r="39" spans="1:3" ht="15">
      <c r="A39" s="128" t="s">
        <v>391</v>
      </c>
      <c r="B39" s="95" t="s">
        <v>863</v>
      </c>
      <c r="C39" s="96">
        <f>C40</f>
        <v>16</v>
      </c>
    </row>
    <row r="40" spans="1:3" ht="15">
      <c r="A40" s="129" t="s">
        <v>391</v>
      </c>
      <c r="B40" s="95" t="s">
        <v>454</v>
      </c>
      <c r="C40" s="96">
        <v>16</v>
      </c>
    </row>
    <row r="41" spans="1:3" ht="15">
      <c r="A41" s="126" t="s">
        <v>455</v>
      </c>
      <c r="B41" s="95" t="s">
        <v>344</v>
      </c>
      <c r="C41" s="96">
        <f>C42</f>
        <v>21000</v>
      </c>
    </row>
    <row r="42" spans="1:3" ht="30.75">
      <c r="A42" s="127" t="s">
        <v>1067</v>
      </c>
      <c r="B42" s="95" t="s">
        <v>1068</v>
      </c>
      <c r="C42" s="96">
        <f>11700+4000+2300+3000</f>
        <v>21000</v>
      </c>
    </row>
    <row r="43" spans="1:3" ht="15">
      <c r="A43" s="125" t="s">
        <v>869</v>
      </c>
      <c r="B43" s="98" t="s">
        <v>870</v>
      </c>
      <c r="C43" s="96">
        <f>C44+C46</f>
        <v>1435045.5</v>
      </c>
    </row>
    <row r="44" spans="1:3" ht="15">
      <c r="A44" s="130" t="s">
        <v>797</v>
      </c>
      <c r="B44" s="95" t="s">
        <v>798</v>
      </c>
      <c r="C44" s="96">
        <f>C45</f>
        <v>100000</v>
      </c>
    </row>
    <row r="45" spans="1:3" ht="30.75">
      <c r="A45" s="125" t="s">
        <v>1122</v>
      </c>
      <c r="B45" s="95" t="s">
        <v>518</v>
      </c>
      <c r="C45" s="96">
        <f>131000-31000</f>
        <v>100000</v>
      </c>
    </row>
    <row r="46" spans="1:3" ht="15">
      <c r="A46" s="130" t="s">
        <v>519</v>
      </c>
      <c r="B46" s="95" t="s">
        <v>82</v>
      </c>
      <c r="C46" s="96">
        <f>C47+C49</f>
        <v>1335045.5</v>
      </c>
    </row>
    <row r="47" spans="1:3" ht="17.25" customHeight="1">
      <c r="A47" s="131" t="s">
        <v>1017</v>
      </c>
      <c r="B47" s="95" t="s">
        <v>80</v>
      </c>
      <c r="C47" s="96">
        <f>C48</f>
        <v>1185045.5</v>
      </c>
    </row>
    <row r="48" spans="1:3" ht="30.75">
      <c r="A48" s="125" t="s">
        <v>1018</v>
      </c>
      <c r="B48" s="95" t="s">
        <v>1019</v>
      </c>
      <c r="C48" s="132">
        <f>875000+100000+100000+110045.5</f>
        <v>1185045.5</v>
      </c>
    </row>
    <row r="49" spans="1:3" ht="15">
      <c r="A49" s="125" t="s">
        <v>1020</v>
      </c>
      <c r="B49" s="95" t="s">
        <v>1021</v>
      </c>
      <c r="C49" s="96">
        <f>C50</f>
        <v>150000</v>
      </c>
    </row>
    <row r="50" spans="1:3" ht="30.75">
      <c r="A50" s="125" t="s">
        <v>965</v>
      </c>
      <c r="B50" s="95" t="s">
        <v>966</v>
      </c>
      <c r="C50" s="96">
        <v>150000</v>
      </c>
    </row>
    <row r="51" spans="1:3" ht="15">
      <c r="A51" s="125" t="s">
        <v>169</v>
      </c>
      <c r="B51" s="95" t="s">
        <v>647</v>
      </c>
      <c r="C51" s="96">
        <f>C52+C54</f>
        <v>30500</v>
      </c>
    </row>
    <row r="52" spans="1:3" ht="15">
      <c r="A52" s="125" t="s">
        <v>598</v>
      </c>
      <c r="B52" s="95" t="s">
        <v>1120</v>
      </c>
      <c r="C52" s="96">
        <f>C53</f>
        <v>30000</v>
      </c>
    </row>
    <row r="53" spans="1:3" ht="30.75">
      <c r="A53" s="125" t="s">
        <v>37</v>
      </c>
      <c r="B53" s="95" t="s">
        <v>697</v>
      </c>
      <c r="C53" s="96">
        <f>23000+7000</f>
        <v>30000</v>
      </c>
    </row>
    <row r="54" spans="1:3" ht="30.75">
      <c r="A54" s="125" t="s">
        <v>621</v>
      </c>
      <c r="B54" s="95" t="s">
        <v>1013</v>
      </c>
      <c r="C54" s="96">
        <f>C55</f>
        <v>500</v>
      </c>
    </row>
    <row r="55" spans="1:3" ht="15">
      <c r="A55" s="125" t="s">
        <v>504</v>
      </c>
      <c r="B55" s="95" t="s">
        <v>1014</v>
      </c>
      <c r="C55" s="96">
        <f>1400-900</f>
        <v>500</v>
      </c>
    </row>
    <row r="56" spans="1:3" ht="30.75">
      <c r="A56" s="125" t="s">
        <v>378</v>
      </c>
      <c r="B56" s="95" t="s">
        <v>616</v>
      </c>
      <c r="C56" s="96">
        <f>C57+C62+C64+C59</f>
        <v>0</v>
      </c>
    </row>
    <row r="57" spans="1:3" ht="15">
      <c r="A57" s="133" t="s">
        <v>542</v>
      </c>
      <c r="B57" s="95" t="s">
        <v>543</v>
      </c>
      <c r="C57" s="96">
        <f>SUM(C58)</f>
        <v>0</v>
      </c>
    </row>
    <row r="58" spans="1:3" ht="30.75">
      <c r="A58" s="133" t="s">
        <v>86</v>
      </c>
      <c r="B58" s="95" t="s">
        <v>87</v>
      </c>
      <c r="C58" s="96">
        <v>0</v>
      </c>
    </row>
    <row r="59" spans="1:3" ht="15">
      <c r="A59" s="133" t="s">
        <v>153</v>
      </c>
      <c r="B59" s="95" t="s">
        <v>1114</v>
      </c>
      <c r="C59" s="96">
        <f>SUM(C60)</f>
        <v>0</v>
      </c>
    </row>
    <row r="60" spans="1:3" ht="15">
      <c r="A60" s="133" t="s">
        <v>897</v>
      </c>
      <c r="B60" s="95" t="s">
        <v>924</v>
      </c>
      <c r="C60" s="96">
        <f>SUM(C61)</f>
        <v>0</v>
      </c>
    </row>
    <row r="61" spans="1:3" ht="30.75">
      <c r="A61" s="133" t="s">
        <v>118</v>
      </c>
      <c r="B61" s="95" t="s">
        <v>508</v>
      </c>
      <c r="C61" s="96">
        <v>0</v>
      </c>
    </row>
    <row r="62" spans="1:3" ht="15">
      <c r="A62" s="125" t="s">
        <v>119</v>
      </c>
      <c r="B62" s="95" t="s">
        <v>120</v>
      </c>
      <c r="C62" s="96">
        <f>SUM(C63)</f>
        <v>0</v>
      </c>
    </row>
    <row r="63" spans="1:3" ht="15">
      <c r="A63" s="125" t="s">
        <v>121</v>
      </c>
      <c r="B63" s="95" t="s">
        <v>122</v>
      </c>
      <c r="C63" s="96">
        <v>0</v>
      </c>
    </row>
    <row r="64" spans="1:3" ht="15">
      <c r="A64" s="125" t="s">
        <v>557</v>
      </c>
      <c r="B64" s="98" t="s">
        <v>686</v>
      </c>
      <c r="C64" s="96">
        <f>SUM(C65+C67+C69)</f>
        <v>0</v>
      </c>
    </row>
    <row r="65" spans="1:3" ht="15">
      <c r="A65" s="133" t="s">
        <v>687</v>
      </c>
      <c r="B65" s="98" t="s">
        <v>688</v>
      </c>
      <c r="C65" s="96">
        <f>SUM(C66)</f>
        <v>0</v>
      </c>
    </row>
    <row r="66" spans="1:3" ht="15">
      <c r="A66" s="133" t="s">
        <v>404</v>
      </c>
      <c r="B66" s="98" t="s">
        <v>509</v>
      </c>
      <c r="C66" s="96">
        <v>0</v>
      </c>
    </row>
    <row r="67" spans="1:3" ht="30.75">
      <c r="A67" s="133" t="s">
        <v>597</v>
      </c>
      <c r="B67" s="98" t="s">
        <v>1051</v>
      </c>
      <c r="C67" s="96">
        <f>SUM(C68)</f>
        <v>0</v>
      </c>
    </row>
    <row r="68" spans="1:3" ht="46.5">
      <c r="A68" s="133" t="s">
        <v>860</v>
      </c>
      <c r="B68" s="98" t="s">
        <v>510</v>
      </c>
      <c r="C68" s="96">
        <v>0</v>
      </c>
    </row>
    <row r="69" spans="1:3" ht="15">
      <c r="A69" s="133" t="s">
        <v>172</v>
      </c>
      <c r="B69" s="98" t="s">
        <v>173</v>
      </c>
      <c r="C69" s="96">
        <f>SUM(C70)</f>
        <v>0</v>
      </c>
    </row>
    <row r="70" spans="1:3" ht="15">
      <c r="A70" s="133" t="s">
        <v>398</v>
      </c>
      <c r="B70" s="98" t="s">
        <v>511</v>
      </c>
      <c r="C70" s="96">
        <v>0</v>
      </c>
    </row>
    <row r="71" spans="1:3" ht="30.75">
      <c r="A71" s="133" t="s">
        <v>1148</v>
      </c>
      <c r="B71" s="98" t="s">
        <v>316</v>
      </c>
      <c r="C71" s="96">
        <f>SUM(C72+C74+C83+C86)</f>
        <v>542196.9</v>
      </c>
    </row>
    <row r="72" spans="1:3" ht="46.5">
      <c r="A72" s="133" t="s">
        <v>1050</v>
      </c>
      <c r="B72" s="98" t="s">
        <v>551</v>
      </c>
      <c r="C72" s="96">
        <f>SUM(C73)</f>
        <v>6101.4</v>
      </c>
    </row>
    <row r="73" spans="1:3" ht="30.75">
      <c r="A73" s="133" t="s">
        <v>636</v>
      </c>
      <c r="B73" s="98" t="s">
        <v>552</v>
      </c>
      <c r="C73" s="96">
        <f>1479+2622.4+2000</f>
        <v>6101.4</v>
      </c>
    </row>
    <row r="74" spans="1:3" ht="62.25">
      <c r="A74" s="133" t="s">
        <v>959</v>
      </c>
      <c r="B74" s="98" t="s">
        <v>630</v>
      </c>
      <c r="C74" s="96">
        <f>C75+C77+C79+C81</f>
        <v>493300</v>
      </c>
    </row>
    <row r="75" spans="1:3" ht="46.5">
      <c r="A75" s="125" t="s">
        <v>549</v>
      </c>
      <c r="B75" s="99" t="s">
        <v>1109</v>
      </c>
      <c r="C75" s="96">
        <f>C76</f>
        <v>410400</v>
      </c>
    </row>
    <row r="76" spans="1:3" ht="46.5">
      <c r="A76" s="125" t="s">
        <v>76</v>
      </c>
      <c r="B76" s="99" t="s">
        <v>448</v>
      </c>
      <c r="C76" s="96">
        <f>406400+4000</f>
        <v>410400</v>
      </c>
    </row>
    <row r="77" spans="1:3" ht="30.75">
      <c r="A77" s="134" t="s">
        <v>306</v>
      </c>
      <c r="B77" s="95" t="s">
        <v>307</v>
      </c>
      <c r="C77" s="96">
        <f>C78</f>
        <v>0</v>
      </c>
    </row>
    <row r="78" spans="1:3" ht="30.75">
      <c r="A78" s="125" t="s">
        <v>1163</v>
      </c>
      <c r="B78" s="95" t="s">
        <v>700</v>
      </c>
      <c r="C78" s="96">
        <v>0</v>
      </c>
    </row>
    <row r="79" spans="1:3" ht="30.75">
      <c r="A79" s="125" t="s">
        <v>47</v>
      </c>
      <c r="B79" s="95" t="s">
        <v>48</v>
      </c>
      <c r="C79" s="96">
        <f>C80</f>
        <v>79800</v>
      </c>
    </row>
    <row r="80" spans="1:3" ht="30" customHeight="1">
      <c r="A80" s="125" t="s">
        <v>49</v>
      </c>
      <c r="B80" s="247" t="s">
        <v>50</v>
      </c>
      <c r="C80" s="96">
        <f>69800-4000+14000</f>
        <v>79800</v>
      </c>
    </row>
    <row r="81" spans="1:3" ht="30.75">
      <c r="A81" s="125" t="s">
        <v>818</v>
      </c>
      <c r="B81" s="99" t="s">
        <v>821</v>
      </c>
      <c r="C81" s="96">
        <f>C82</f>
        <v>3100</v>
      </c>
    </row>
    <row r="82" spans="1:3" ht="62.25">
      <c r="A82" s="125" t="s">
        <v>927</v>
      </c>
      <c r="B82" s="99" t="s">
        <v>926</v>
      </c>
      <c r="C82" s="96">
        <f>100+3000</f>
        <v>3100</v>
      </c>
    </row>
    <row r="83" spans="1:3" ht="15">
      <c r="A83" s="125" t="s">
        <v>77</v>
      </c>
      <c r="B83" s="95" t="s">
        <v>701</v>
      </c>
      <c r="C83" s="96">
        <f>C84</f>
        <v>795.5</v>
      </c>
    </row>
    <row r="84" spans="1:3" ht="30.75">
      <c r="A84" s="125" t="s">
        <v>684</v>
      </c>
      <c r="B84" s="95" t="s">
        <v>685</v>
      </c>
      <c r="C84" s="96">
        <f>C85</f>
        <v>795.5</v>
      </c>
    </row>
    <row r="85" spans="1:3" ht="30.75">
      <c r="A85" s="125" t="s">
        <v>533</v>
      </c>
      <c r="B85" s="95" t="s">
        <v>534</v>
      </c>
      <c r="C85" s="96">
        <f>150+645.5</f>
        <v>795.5</v>
      </c>
    </row>
    <row r="86" spans="1:3" ht="46.5">
      <c r="A86" s="125" t="s">
        <v>224</v>
      </c>
      <c r="B86" s="95" t="s">
        <v>794</v>
      </c>
      <c r="C86" s="96">
        <f>C87</f>
        <v>42000</v>
      </c>
    </row>
    <row r="87" spans="1:3" ht="46.5">
      <c r="A87" s="133" t="s">
        <v>1108</v>
      </c>
      <c r="B87" s="95" t="s">
        <v>898</v>
      </c>
      <c r="C87" s="96">
        <f>SUM(C88)</f>
        <v>42000</v>
      </c>
    </row>
    <row r="88" spans="1:3" ht="46.5">
      <c r="A88" s="133" t="s">
        <v>570</v>
      </c>
      <c r="B88" s="95" t="s">
        <v>899</v>
      </c>
      <c r="C88" s="96">
        <f>36000+2000+4000</f>
        <v>42000</v>
      </c>
    </row>
    <row r="89" spans="1:3" ht="15">
      <c r="A89" s="135" t="s">
        <v>495</v>
      </c>
      <c r="B89" s="100" t="s">
        <v>496</v>
      </c>
      <c r="C89" s="96">
        <f>SUM(C90)</f>
        <v>3000</v>
      </c>
    </row>
    <row r="90" spans="1:3" ht="15">
      <c r="A90" s="125" t="s">
        <v>571</v>
      </c>
      <c r="B90" s="95" t="s">
        <v>264</v>
      </c>
      <c r="C90" s="96">
        <f>C91+C92+C93+C94</f>
        <v>3000</v>
      </c>
    </row>
    <row r="91" spans="1:3" ht="15">
      <c r="A91" s="125" t="s">
        <v>410</v>
      </c>
      <c r="B91" s="95" t="s">
        <v>411</v>
      </c>
      <c r="C91" s="96">
        <v>1000</v>
      </c>
    </row>
    <row r="92" spans="1:3" ht="15">
      <c r="A92" s="125" t="s">
        <v>412</v>
      </c>
      <c r="B92" s="95" t="s">
        <v>413</v>
      </c>
      <c r="C92" s="96">
        <v>0</v>
      </c>
    </row>
    <row r="93" spans="1:3" ht="15">
      <c r="A93" s="125" t="s">
        <v>414</v>
      </c>
      <c r="B93" s="95" t="s">
        <v>415</v>
      </c>
      <c r="C93" s="96">
        <v>1100</v>
      </c>
    </row>
    <row r="94" spans="1:3" ht="15">
      <c r="A94" s="125" t="s">
        <v>1069</v>
      </c>
      <c r="B94" s="95" t="s">
        <v>958</v>
      </c>
      <c r="C94" s="96">
        <v>900</v>
      </c>
    </row>
    <row r="95" spans="1:3" ht="15">
      <c r="A95" s="125" t="s">
        <v>955</v>
      </c>
      <c r="B95" s="98" t="s">
        <v>592</v>
      </c>
      <c r="C95" s="96">
        <f>C96+C98</f>
        <v>3673</v>
      </c>
    </row>
    <row r="96" spans="1:3" ht="15">
      <c r="A96" s="125" t="s">
        <v>1070</v>
      </c>
      <c r="B96" s="95" t="s">
        <v>956</v>
      </c>
      <c r="C96" s="96">
        <f>C97</f>
        <v>0</v>
      </c>
    </row>
    <row r="97" spans="1:3" ht="15">
      <c r="A97" s="125" t="s">
        <v>451</v>
      </c>
      <c r="B97" s="95" t="s">
        <v>450</v>
      </c>
      <c r="C97" s="96">
        <v>0</v>
      </c>
    </row>
    <row r="98" spans="1:3" ht="15">
      <c r="A98" s="125" t="s">
        <v>975</v>
      </c>
      <c r="B98" s="95" t="s">
        <v>593</v>
      </c>
      <c r="C98" s="96">
        <f>C99</f>
        <v>3673</v>
      </c>
    </row>
    <row r="99" spans="1:3" ht="15">
      <c r="A99" s="125" t="s">
        <v>1071</v>
      </c>
      <c r="B99" s="95" t="s">
        <v>449</v>
      </c>
      <c r="C99" s="96">
        <f>8+3665</f>
        <v>3673</v>
      </c>
    </row>
    <row r="100" spans="1:3" ht="15">
      <c r="A100" s="125" t="s">
        <v>784</v>
      </c>
      <c r="B100" s="95" t="s">
        <v>785</v>
      </c>
      <c r="C100" s="96">
        <f>C101+C103+C110</f>
        <v>165470</v>
      </c>
    </row>
    <row r="101" spans="1:3" ht="15">
      <c r="A101" s="125" t="s">
        <v>786</v>
      </c>
      <c r="B101" s="95" t="s">
        <v>514</v>
      </c>
      <c r="C101" s="96">
        <f>C102</f>
        <v>50</v>
      </c>
    </row>
    <row r="102" spans="1:3" ht="15">
      <c r="A102" s="125" t="s">
        <v>289</v>
      </c>
      <c r="B102" s="95" t="s">
        <v>290</v>
      </c>
      <c r="C102" s="96">
        <v>50</v>
      </c>
    </row>
    <row r="103" spans="1:3" ht="46.5">
      <c r="A103" s="125" t="s">
        <v>1169</v>
      </c>
      <c r="B103" s="95" t="s">
        <v>291</v>
      </c>
      <c r="C103" s="96">
        <f>C104+C107</f>
        <v>85420</v>
      </c>
    </row>
    <row r="104" spans="1:3" ht="62.25">
      <c r="A104" s="125" t="s">
        <v>1044</v>
      </c>
      <c r="B104" s="95" t="s">
        <v>957</v>
      </c>
      <c r="C104" s="96">
        <f>C105+C106</f>
        <v>85420</v>
      </c>
    </row>
    <row r="105" spans="1:3" ht="46.5">
      <c r="A105" s="125" t="s">
        <v>285</v>
      </c>
      <c r="B105" s="95" t="s">
        <v>532</v>
      </c>
      <c r="C105" s="96">
        <f>4495-4495</f>
        <v>0</v>
      </c>
    </row>
    <row r="106" spans="1:3" ht="62.25">
      <c r="A106" s="125" t="s">
        <v>1077</v>
      </c>
      <c r="B106" s="95" t="s">
        <v>423</v>
      </c>
      <c r="C106" s="96">
        <f>78420+7000</f>
        <v>85420</v>
      </c>
    </row>
    <row r="107" spans="1:3" ht="62.25">
      <c r="A107" s="125" t="s">
        <v>747</v>
      </c>
      <c r="B107" s="95" t="s">
        <v>464</v>
      </c>
      <c r="C107" s="96">
        <f>C108+C109</f>
        <v>0</v>
      </c>
    </row>
    <row r="108" spans="1:3" ht="46.5">
      <c r="A108" s="125" t="s">
        <v>746</v>
      </c>
      <c r="B108" s="95" t="s">
        <v>422</v>
      </c>
      <c r="C108" s="96">
        <v>0</v>
      </c>
    </row>
    <row r="109" spans="1:3" ht="62.25">
      <c r="A109" s="125" t="s">
        <v>114</v>
      </c>
      <c r="B109" s="95" t="s">
        <v>424</v>
      </c>
      <c r="C109" s="96">
        <v>0</v>
      </c>
    </row>
    <row r="110" spans="1:3" ht="30.75">
      <c r="A110" s="123" t="s">
        <v>396</v>
      </c>
      <c r="B110" s="95" t="s">
        <v>978</v>
      </c>
      <c r="C110" s="96">
        <f>C111+C113</f>
        <v>80000</v>
      </c>
    </row>
    <row r="111" spans="1:3" ht="15">
      <c r="A111" s="125" t="s">
        <v>1084</v>
      </c>
      <c r="B111" s="95" t="s">
        <v>1074</v>
      </c>
      <c r="C111" s="96">
        <f>C112</f>
        <v>40000</v>
      </c>
    </row>
    <row r="112" spans="1:3" ht="30.75">
      <c r="A112" s="125" t="s">
        <v>186</v>
      </c>
      <c r="B112" s="95" t="s">
        <v>1058</v>
      </c>
      <c r="C112" s="96">
        <f>50000-10000</f>
        <v>40000</v>
      </c>
    </row>
    <row r="113" spans="1:3" ht="51.75" customHeight="1">
      <c r="A113" s="131" t="s">
        <v>820</v>
      </c>
      <c r="B113" s="95" t="s">
        <v>819</v>
      </c>
      <c r="C113" s="96">
        <f>C114</f>
        <v>40000</v>
      </c>
    </row>
    <row r="114" spans="1:3" ht="46.5">
      <c r="A114" s="125" t="s">
        <v>749</v>
      </c>
      <c r="B114" s="95" t="s">
        <v>748</v>
      </c>
      <c r="C114" s="96">
        <f>1000+29000+10000</f>
        <v>40000</v>
      </c>
    </row>
    <row r="115" spans="1:3" ht="15">
      <c r="A115" s="125" t="s">
        <v>72</v>
      </c>
      <c r="B115" s="95" t="s">
        <v>73</v>
      </c>
      <c r="C115" s="269">
        <f>C116+C119+C121+C140+C120+C130+C131+C132+C123+C134+C137+C138</f>
        <v>13270</v>
      </c>
    </row>
    <row r="116" spans="1:3" ht="15">
      <c r="A116" s="125" t="s">
        <v>74</v>
      </c>
      <c r="B116" s="95" t="s">
        <v>75</v>
      </c>
      <c r="C116" s="96">
        <f>C117+C118</f>
        <v>1770</v>
      </c>
    </row>
    <row r="117" spans="1:3" ht="52.5">
      <c r="A117" s="125" t="s">
        <v>526</v>
      </c>
      <c r="B117" s="95" t="s">
        <v>977</v>
      </c>
      <c r="C117" s="96">
        <f>1200+400</f>
        <v>1600</v>
      </c>
    </row>
    <row r="118" spans="1:3" ht="30.75">
      <c r="A118" s="136" t="s">
        <v>809</v>
      </c>
      <c r="B118" s="95" t="s">
        <v>810</v>
      </c>
      <c r="C118" s="96">
        <v>170</v>
      </c>
    </row>
    <row r="119" spans="1:3" ht="30.75">
      <c r="A119" s="125" t="s">
        <v>811</v>
      </c>
      <c r="B119" s="95" t="s">
        <v>178</v>
      </c>
      <c r="C119" s="96">
        <v>1600</v>
      </c>
    </row>
    <row r="120" spans="1:3" ht="30.75">
      <c r="A120" s="125" t="s">
        <v>1412</v>
      </c>
      <c r="B120" s="95" t="s">
        <v>1411</v>
      </c>
      <c r="C120" s="96">
        <v>400</v>
      </c>
    </row>
    <row r="121" spans="1:3" ht="15">
      <c r="A121" s="125" t="s">
        <v>179</v>
      </c>
      <c r="B121" s="95" t="s">
        <v>180</v>
      </c>
      <c r="C121" s="96">
        <f>SUM(C122)</f>
        <v>0</v>
      </c>
    </row>
    <row r="122" spans="1:3" ht="30.75">
      <c r="A122" s="125" t="s">
        <v>161</v>
      </c>
      <c r="B122" s="95" t="s">
        <v>162</v>
      </c>
      <c r="C122" s="96"/>
    </row>
    <row r="123" spans="1:3" ht="62.25">
      <c r="A123" s="125" t="s">
        <v>1526</v>
      </c>
      <c r="B123" s="95" t="s">
        <v>1172</v>
      </c>
      <c r="C123" s="96">
        <f>SUM(C124:C129)</f>
        <v>2000</v>
      </c>
    </row>
    <row r="124" spans="1:3" ht="15">
      <c r="A124" s="125" t="s">
        <v>1173</v>
      </c>
      <c r="B124" s="95" t="s">
        <v>558</v>
      </c>
      <c r="C124" s="96">
        <f>300-200</f>
        <v>100</v>
      </c>
    </row>
    <row r="125" spans="1:3" ht="15">
      <c r="A125" s="125" t="s">
        <v>401</v>
      </c>
      <c r="B125" s="95" t="s">
        <v>402</v>
      </c>
      <c r="C125" s="96">
        <f>2-2</f>
        <v>0</v>
      </c>
    </row>
    <row r="126" spans="1:3" ht="15">
      <c r="A126" s="125" t="s">
        <v>559</v>
      </c>
      <c r="B126" s="95" t="s">
        <v>813</v>
      </c>
      <c r="C126" s="96"/>
    </row>
    <row r="127" spans="1:3" ht="15">
      <c r="A127" s="125" t="s">
        <v>980</v>
      </c>
      <c r="B127" s="95" t="s">
        <v>981</v>
      </c>
      <c r="C127" s="96">
        <f>1250-800</f>
        <v>450</v>
      </c>
    </row>
    <row r="128" spans="1:3" ht="15">
      <c r="A128" s="125" t="s">
        <v>308</v>
      </c>
      <c r="B128" s="95" t="s">
        <v>814</v>
      </c>
      <c r="C128" s="96">
        <f>450+1000</f>
        <v>1450</v>
      </c>
    </row>
    <row r="129" spans="1:3" ht="15">
      <c r="A129" s="125" t="s">
        <v>812</v>
      </c>
      <c r="B129" s="95" t="s">
        <v>815</v>
      </c>
      <c r="C129" s="96"/>
    </row>
    <row r="130" spans="1:3" ht="15">
      <c r="A130" s="125" t="s">
        <v>816</v>
      </c>
      <c r="B130" s="95" t="s">
        <v>817</v>
      </c>
      <c r="C130" s="96"/>
    </row>
    <row r="131" spans="1:3" ht="30.75">
      <c r="A131" s="125" t="s">
        <v>637</v>
      </c>
      <c r="B131" s="95" t="s">
        <v>638</v>
      </c>
      <c r="C131" s="96">
        <f>3700-3200-500</f>
        <v>0</v>
      </c>
    </row>
    <row r="132" spans="1:3" ht="30.75">
      <c r="A132" s="125" t="s">
        <v>639</v>
      </c>
      <c r="B132" s="95" t="s">
        <v>640</v>
      </c>
      <c r="C132" s="96">
        <f>C133</f>
        <v>0</v>
      </c>
    </row>
    <row r="133" spans="1:3" ht="30.75">
      <c r="A133" s="125" t="s">
        <v>288</v>
      </c>
      <c r="B133" s="248" t="s">
        <v>1087</v>
      </c>
      <c r="C133" s="96">
        <v>0</v>
      </c>
    </row>
    <row r="134" spans="1:3" ht="15">
      <c r="A134" s="249" t="s">
        <v>1527</v>
      </c>
      <c r="B134" s="248" t="s">
        <v>720</v>
      </c>
      <c r="C134" s="250">
        <f>C135+C136</f>
        <v>800</v>
      </c>
    </row>
    <row r="135" spans="1:3" ht="30.75">
      <c r="A135" s="249" t="s">
        <v>750</v>
      </c>
      <c r="B135" s="95" t="s">
        <v>751</v>
      </c>
      <c r="C135" s="250">
        <v>300</v>
      </c>
    </row>
    <row r="136" spans="1:3" ht="15">
      <c r="A136" s="249" t="s">
        <v>752</v>
      </c>
      <c r="B136" s="95" t="s">
        <v>753</v>
      </c>
      <c r="C136" s="250">
        <v>500</v>
      </c>
    </row>
    <row r="137" spans="1:3" ht="46.5">
      <c r="A137" s="249" t="s">
        <v>535</v>
      </c>
      <c r="B137" s="95" t="s">
        <v>536</v>
      </c>
      <c r="C137" s="250">
        <f>1700-400</f>
        <v>1300</v>
      </c>
    </row>
    <row r="138" spans="1:3" ht="30.75">
      <c r="A138" s="125" t="s">
        <v>537</v>
      </c>
      <c r="B138" s="251" t="s">
        <v>538</v>
      </c>
      <c r="C138" s="96">
        <f>C139</f>
        <v>0</v>
      </c>
    </row>
    <row r="139" spans="1:3" ht="30.75">
      <c r="A139" s="125" t="s">
        <v>690</v>
      </c>
      <c r="B139" s="95" t="s">
        <v>691</v>
      </c>
      <c r="C139" s="96">
        <f>250-250</f>
        <v>0</v>
      </c>
    </row>
    <row r="140" spans="1:3" ht="15">
      <c r="A140" s="125" t="s">
        <v>1203</v>
      </c>
      <c r="B140" s="95" t="s">
        <v>862</v>
      </c>
      <c r="C140" s="96">
        <f>SUM(C141)</f>
        <v>5400</v>
      </c>
    </row>
    <row r="141" spans="1:3" ht="30.75">
      <c r="A141" s="125" t="s">
        <v>692</v>
      </c>
      <c r="B141" s="95" t="s">
        <v>24</v>
      </c>
      <c r="C141" s="96">
        <v>5400</v>
      </c>
    </row>
    <row r="142" spans="1:3" ht="15">
      <c r="A142" s="125" t="s">
        <v>25</v>
      </c>
      <c r="B142" s="95" t="s">
        <v>26</v>
      </c>
      <c r="C142" s="96">
        <f>C143+C145</f>
        <v>67390</v>
      </c>
    </row>
    <row r="143" spans="1:3" ht="15">
      <c r="A143" s="125" t="s">
        <v>27</v>
      </c>
      <c r="B143" s="95" t="s">
        <v>28</v>
      </c>
      <c r="C143" s="96">
        <f>C144</f>
        <v>0</v>
      </c>
    </row>
    <row r="144" spans="1:3" ht="15">
      <c r="A144" s="125" t="s">
        <v>1116</v>
      </c>
      <c r="B144" s="95" t="s">
        <v>419</v>
      </c>
      <c r="C144" s="96">
        <v>0</v>
      </c>
    </row>
    <row r="145" spans="1:3" ht="15">
      <c r="A145" s="125" t="s">
        <v>781</v>
      </c>
      <c r="B145" s="95" t="s">
        <v>782</v>
      </c>
      <c r="C145" s="96">
        <f>SUM(C146)</f>
        <v>67390</v>
      </c>
    </row>
    <row r="146" spans="1:3" ht="15">
      <c r="A146" s="125" t="s">
        <v>932</v>
      </c>
      <c r="B146" s="95" t="s">
        <v>933</v>
      </c>
      <c r="C146" s="96">
        <f>2890+24500+40000</f>
        <v>67390</v>
      </c>
    </row>
    <row r="147" spans="1:3" ht="15" hidden="1">
      <c r="A147" s="133" t="s">
        <v>319</v>
      </c>
      <c r="B147" s="95" t="s">
        <v>934</v>
      </c>
      <c r="C147" s="96"/>
    </row>
    <row r="148" spans="1:3" ht="30.75" hidden="1">
      <c r="A148" s="125" t="s">
        <v>1128</v>
      </c>
      <c r="B148" s="95" t="s">
        <v>935</v>
      </c>
      <c r="C148" s="96">
        <v>0</v>
      </c>
    </row>
    <row r="149" spans="1:3" ht="15">
      <c r="A149" s="130" t="s">
        <v>62</v>
      </c>
      <c r="B149" s="101" t="s">
        <v>63</v>
      </c>
      <c r="C149" s="102">
        <f>C150+C194+C199</f>
        <v>3042909.4000000004</v>
      </c>
    </row>
    <row r="150" spans="1:3" ht="30.75">
      <c r="A150" s="125" t="s">
        <v>1123</v>
      </c>
      <c r="B150" s="95" t="s">
        <v>1124</v>
      </c>
      <c r="C150" s="96">
        <f>C151+C166+C187</f>
        <v>3048627.2</v>
      </c>
    </row>
    <row r="151" spans="1:3" ht="15">
      <c r="A151" s="126" t="s">
        <v>693</v>
      </c>
      <c r="B151" s="95" t="s">
        <v>1397</v>
      </c>
      <c r="C151" s="96">
        <f>C164+C152+C154+C158+C162+C156+C160</f>
        <v>579300.5</v>
      </c>
    </row>
    <row r="152" spans="1:3" ht="30.75">
      <c r="A152" s="125" t="s">
        <v>623</v>
      </c>
      <c r="B152" s="95" t="s">
        <v>1509</v>
      </c>
      <c r="C152" s="96">
        <f>C153</f>
        <v>0</v>
      </c>
    </row>
    <row r="153" spans="1:3" ht="30.75">
      <c r="A153" s="125" t="s">
        <v>604</v>
      </c>
      <c r="B153" s="247" t="s">
        <v>1389</v>
      </c>
      <c r="C153" s="96">
        <v>0</v>
      </c>
    </row>
    <row r="154" spans="1:4" ht="26.25">
      <c r="A154" s="131" t="s">
        <v>1413</v>
      </c>
      <c r="B154" s="119" t="s">
        <v>1375</v>
      </c>
      <c r="C154" s="96">
        <f>C155</f>
        <v>32323.600000000002</v>
      </c>
      <c r="D154" s="97"/>
    </row>
    <row r="155" spans="1:4" ht="26.25">
      <c r="A155" s="131" t="s">
        <v>395</v>
      </c>
      <c r="B155" s="119" t="s">
        <v>1393</v>
      </c>
      <c r="C155" s="96">
        <f>29700+1587.2+1036.4</f>
        <v>32323.600000000002</v>
      </c>
      <c r="D155" s="97"/>
    </row>
    <row r="156" spans="1:4" ht="39">
      <c r="A156" s="131" t="s">
        <v>1626</v>
      </c>
      <c r="B156" s="119" t="s">
        <v>1627</v>
      </c>
      <c r="C156" s="96">
        <f>C157</f>
        <v>94834.3</v>
      </c>
      <c r="D156" s="114"/>
    </row>
    <row r="157" spans="1:4" ht="39">
      <c r="A157" s="131" t="s">
        <v>1628</v>
      </c>
      <c r="B157" s="119" t="s">
        <v>1629</v>
      </c>
      <c r="C157" s="96">
        <v>94834.3</v>
      </c>
      <c r="D157" s="114"/>
    </row>
    <row r="158" spans="1:4" ht="30.75">
      <c r="A158" s="131" t="s">
        <v>51</v>
      </c>
      <c r="B158" s="119" t="s">
        <v>1394</v>
      </c>
      <c r="C158" s="96">
        <f>C159</f>
        <v>63365.5</v>
      </c>
      <c r="D158" s="114"/>
    </row>
    <row r="159" spans="1:4" ht="30.75">
      <c r="A159" s="131" t="s">
        <v>52</v>
      </c>
      <c r="B159" s="119" t="s">
        <v>1391</v>
      </c>
      <c r="C159" s="96">
        <f>16560+46805.5+142500-142500</f>
        <v>63365.5</v>
      </c>
      <c r="D159" s="114"/>
    </row>
    <row r="160" spans="1:4" ht="30.75">
      <c r="A160" s="131" t="s">
        <v>1710</v>
      </c>
      <c r="B160" s="119" t="s">
        <v>1711</v>
      </c>
      <c r="C160" s="96">
        <f>C161</f>
        <v>152500</v>
      </c>
      <c r="D160" s="114"/>
    </row>
    <row r="161" spans="1:4" ht="39.75">
      <c r="A161" s="131" t="s">
        <v>1712</v>
      </c>
      <c r="B161" s="320" t="s">
        <v>1709</v>
      </c>
      <c r="C161" s="96">
        <f>10000+142500</f>
        <v>152500</v>
      </c>
      <c r="D161" s="114"/>
    </row>
    <row r="162" spans="1:4" ht="46.5">
      <c r="A162" s="131" t="s">
        <v>1210</v>
      </c>
      <c r="B162" s="119" t="s">
        <v>1395</v>
      </c>
      <c r="C162" s="96">
        <f>C163</f>
        <v>28488</v>
      </c>
      <c r="D162" s="114"/>
    </row>
    <row r="163" spans="1:4" ht="46.5">
      <c r="A163" s="131" t="s">
        <v>1211</v>
      </c>
      <c r="B163" s="119" t="s">
        <v>1376</v>
      </c>
      <c r="C163" s="96">
        <f>19000+9488</f>
        <v>28488</v>
      </c>
      <c r="D163" s="114"/>
    </row>
    <row r="164" spans="1:3" ht="15">
      <c r="A164" s="125" t="s">
        <v>1091</v>
      </c>
      <c r="B164" s="95" t="s">
        <v>1396</v>
      </c>
      <c r="C164" s="96">
        <f>C165</f>
        <v>207789.09999999998</v>
      </c>
    </row>
    <row r="165" spans="1:3" ht="15">
      <c r="A165" s="125" t="s">
        <v>185</v>
      </c>
      <c r="B165" s="95" t="s">
        <v>1377</v>
      </c>
      <c r="C165" s="96">
        <f>543+34817.4+3137.4+99822.7+404.9-10000+43347.7+35716</f>
        <v>207789.09999999998</v>
      </c>
    </row>
    <row r="166" spans="1:3" ht="15">
      <c r="A166" s="126" t="s">
        <v>345</v>
      </c>
      <c r="B166" s="95" t="s">
        <v>1398</v>
      </c>
      <c r="C166" s="96">
        <f>C173+C175+C185+C177+C179+C181+C167+C183+C169+C171</f>
        <v>2426068.7</v>
      </c>
    </row>
    <row r="167" spans="1:3" ht="30.75">
      <c r="A167" s="125" t="s">
        <v>1400</v>
      </c>
      <c r="B167" s="95" t="s">
        <v>1399</v>
      </c>
      <c r="C167" s="96">
        <f>C168</f>
        <v>0</v>
      </c>
    </row>
    <row r="168" spans="1:3" ht="34.5" customHeight="1">
      <c r="A168" s="131" t="s">
        <v>1379</v>
      </c>
      <c r="B168" s="95" t="s">
        <v>1378</v>
      </c>
      <c r="C168" s="96">
        <v>0</v>
      </c>
    </row>
    <row r="169" spans="1:3" ht="34.5" customHeight="1">
      <c r="A169" s="131" t="s">
        <v>1528</v>
      </c>
      <c r="B169" s="95" t="s">
        <v>1529</v>
      </c>
      <c r="C169" s="96">
        <f>C170</f>
        <v>12120</v>
      </c>
    </row>
    <row r="170" spans="1:3" ht="18" customHeight="1">
      <c r="A170" s="131" t="s">
        <v>1523</v>
      </c>
      <c r="B170" s="95" t="s">
        <v>1522</v>
      </c>
      <c r="C170" s="96">
        <f>11370+750</f>
        <v>12120</v>
      </c>
    </row>
    <row r="171" spans="1:3" ht="34.5" customHeight="1">
      <c r="A171" s="131" t="s">
        <v>1530</v>
      </c>
      <c r="B171" s="95" t="s">
        <v>1531</v>
      </c>
      <c r="C171" s="96">
        <f>C172</f>
        <v>37756</v>
      </c>
    </row>
    <row r="172" spans="1:3" ht="34.5" customHeight="1">
      <c r="A172" s="131" t="s">
        <v>1520</v>
      </c>
      <c r="B172" s="95" t="s">
        <v>1519</v>
      </c>
      <c r="C172" s="96">
        <v>37756</v>
      </c>
    </row>
    <row r="173" spans="1:3" ht="15">
      <c r="A173" s="125" t="s">
        <v>452</v>
      </c>
      <c r="B173" s="95" t="s">
        <v>1401</v>
      </c>
      <c r="C173" s="96">
        <f>C174</f>
        <v>114630</v>
      </c>
    </row>
    <row r="174" spans="1:3" ht="15">
      <c r="A174" s="125" t="s">
        <v>174</v>
      </c>
      <c r="B174" s="95" t="s">
        <v>1380</v>
      </c>
      <c r="C174" s="96">
        <f>99948+11360+2702+620</f>
        <v>114630</v>
      </c>
    </row>
    <row r="175" spans="1:3" ht="46.5">
      <c r="A175" s="125" t="s">
        <v>1532</v>
      </c>
      <c r="B175" s="95" t="s">
        <v>1402</v>
      </c>
      <c r="C175" s="96">
        <f>C176</f>
        <v>69665</v>
      </c>
    </row>
    <row r="176" spans="1:3" ht="46.5">
      <c r="A176" s="125" t="s">
        <v>1524</v>
      </c>
      <c r="B176" s="95" t="s">
        <v>1390</v>
      </c>
      <c r="C176" s="96">
        <v>69665</v>
      </c>
    </row>
    <row r="177" spans="1:3" ht="62.25">
      <c r="A177" s="125" t="s">
        <v>999</v>
      </c>
      <c r="B177" s="95" t="s">
        <v>1510</v>
      </c>
      <c r="C177" s="96">
        <f>C178</f>
        <v>0</v>
      </c>
    </row>
    <row r="178" spans="1:3" ht="62.25">
      <c r="A178" s="125" t="s">
        <v>527</v>
      </c>
      <c r="B178" s="95" t="s">
        <v>1381</v>
      </c>
      <c r="C178" s="96">
        <f>3689-3689</f>
        <v>0</v>
      </c>
    </row>
    <row r="179" spans="1:3" ht="46.5">
      <c r="A179" s="125" t="s">
        <v>1404</v>
      </c>
      <c r="B179" s="95" t="s">
        <v>1403</v>
      </c>
      <c r="C179" s="96">
        <f>C180</f>
        <v>980.7</v>
      </c>
    </row>
    <row r="180" spans="1:3" ht="46.5">
      <c r="A180" s="125" t="s">
        <v>1383</v>
      </c>
      <c r="B180" s="95" t="s">
        <v>1382</v>
      </c>
      <c r="C180" s="96">
        <v>980.7</v>
      </c>
    </row>
    <row r="181" spans="1:3" ht="30.75">
      <c r="A181" s="125" t="s">
        <v>983</v>
      </c>
      <c r="B181" s="95" t="s">
        <v>1511</v>
      </c>
      <c r="C181" s="96">
        <f>C182</f>
        <v>0</v>
      </c>
    </row>
    <row r="182" spans="1:3" ht="30.75">
      <c r="A182" s="125" t="s">
        <v>984</v>
      </c>
      <c r="B182" s="95" t="s">
        <v>1384</v>
      </c>
      <c r="C182" s="96"/>
    </row>
    <row r="183" spans="1:3" ht="46.5">
      <c r="A183" s="125" t="s">
        <v>1533</v>
      </c>
      <c r="B183" s="95" t="s">
        <v>1405</v>
      </c>
      <c r="C183" s="96">
        <f>C184</f>
        <v>56999</v>
      </c>
    </row>
    <row r="184" spans="1:3" ht="46.5">
      <c r="A184" s="125" t="s">
        <v>1521</v>
      </c>
      <c r="B184" s="95" t="s">
        <v>1385</v>
      </c>
      <c r="C184" s="96">
        <v>56999</v>
      </c>
    </row>
    <row r="185" spans="1:3" ht="15">
      <c r="A185" s="125" t="s">
        <v>783</v>
      </c>
      <c r="B185" s="95" t="s">
        <v>1406</v>
      </c>
      <c r="C185" s="96">
        <f>C186</f>
        <v>2133918</v>
      </c>
    </row>
    <row r="186" spans="1:3" ht="15">
      <c r="A186" s="125" t="s">
        <v>225</v>
      </c>
      <c r="B186" s="95" t="s">
        <v>1386</v>
      </c>
      <c r="C186" s="96">
        <f>1999454+11370+37756-11370-37756+2115+133099-750</f>
        <v>2133918</v>
      </c>
    </row>
    <row r="187" spans="1:3" ht="15">
      <c r="A187" s="125" t="s">
        <v>425</v>
      </c>
      <c r="B187" s="95" t="s">
        <v>1407</v>
      </c>
      <c r="C187" s="96">
        <f>C190+C192+C188</f>
        <v>43258</v>
      </c>
    </row>
    <row r="188" spans="1:3" ht="30.75">
      <c r="A188" s="125" t="s">
        <v>157</v>
      </c>
      <c r="B188" s="95" t="s">
        <v>1408</v>
      </c>
      <c r="C188" s="96">
        <f>C189</f>
        <v>29258</v>
      </c>
    </row>
    <row r="189" spans="1:3" ht="30.75">
      <c r="A189" s="125" t="s">
        <v>157</v>
      </c>
      <c r="B189" s="95" t="s">
        <v>1387</v>
      </c>
      <c r="C189" s="96">
        <f>4350+24908</f>
        <v>29258</v>
      </c>
    </row>
    <row r="190" spans="1:3" ht="30.75">
      <c r="A190" s="125" t="s">
        <v>631</v>
      </c>
      <c r="B190" s="95" t="s">
        <v>1409</v>
      </c>
      <c r="C190" s="96">
        <f>C191</f>
        <v>0</v>
      </c>
    </row>
    <row r="191" spans="1:3" ht="30.75">
      <c r="A191" s="125" t="s">
        <v>620</v>
      </c>
      <c r="B191" s="95" t="s">
        <v>1392</v>
      </c>
      <c r="C191" s="96">
        <v>0</v>
      </c>
    </row>
    <row r="192" spans="1:3" ht="15">
      <c r="A192" s="125" t="s">
        <v>1131</v>
      </c>
      <c r="B192" s="95" t="s">
        <v>1410</v>
      </c>
      <c r="C192" s="96">
        <f>C193</f>
        <v>14000</v>
      </c>
    </row>
    <row r="193" spans="1:3" ht="15">
      <c r="A193" s="125" t="s">
        <v>1086</v>
      </c>
      <c r="B193" s="95" t="s">
        <v>1388</v>
      </c>
      <c r="C193" s="96">
        <v>14000</v>
      </c>
    </row>
    <row r="194" spans="1:3" ht="15">
      <c r="A194" s="125" t="s">
        <v>64</v>
      </c>
      <c r="B194" s="95" t="s">
        <v>65</v>
      </c>
      <c r="C194" s="96">
        <f>C195</f>
        <v>3046</v>
      </c>
    </row>
    <row r="195" spans="1:3" ht="15">
      <c r="A195" s="125" t="s">
        <v>544</v>
      </c>
      <c r="B195" s="95" t="s">
        <v>287</v>
      </c>
      <c r="C195" s="96">
        <f>C196+C197+C198</f>
        <v>3046</v>
      </c>
    </row>
    <row r="196" spans="1:3" ht="46.5">
      <c r="A196" s="125" t="s">
        <v>263</v>
      </c>
      <c r="B196" s="95" t="s">
        <v>1088</v>
      </c>
      <c r="C196" s="96">
        <v>0</v>
      </c>
    </row>
    <row r="197" spans="1:3" ht="30.75">
      <c r="A197" s="125" t="s">
        <v>1090</v>
      </c>
      <c r="B197" s="95" t="s">
        <v>1089</v>
      </c>
      <c r="C197" s="96">
        <v>106</v>
      </c>
    </row>
    <row r="198" spans="1:3" ht="15">
      <c r="A198" s="125" t="s">
        <v>1132</v>
      </c>
      <c r="B198" s="95" t="s">
        <v>590</v>
      </c>
      <c r="C198" s="96">
        <v>2940</v>
      </c>
    </row>
    <row r="199" spans="1:3" ht="30.75">
      <c r="A199" s="137" t="s">
        <v>800</v>
      </c>
      <c r="B199" s="95" t="s">
        <v>1119</v>
      </c>
      <c r="C199" s="96">
        <f>C200</f>
        <v>-8763.800000000001</v>
      </c>
    </row>
    <row r="200" spans="1:3" ht="30.75">
      <c r="A200" s="137" t="s">
        <v>989</v>
      </c>
      <c r="B200" s="95" t="s">
        <v>1512</v>
      </c>
      <c r="C200" s="96">
        <f>C201+C202</f>
        <v>-8763.800000000001</v>
      </c>
    </row>
    <row r="201" spans="1:3" ht="46.5">
      <c r="A201" s="137" t="s">
        <v>1514</v>
      </c>
      <c r="B201" s="95" t="s">
        <v>1513</v>
      </c>
      <c r="C201" s="96">
        <v>-107.8</v>
      </c>
    </row>
    <row r="202" spans="1:3" ht="30.75">
      <c r="A202" s="137" t="s">
        <v>1516</v>
      </c>
      <c r="B202" s="95" t="s">
        <v>1515</v>
      </c>
      <c r="C202" s="96">
        <f>-18480.4+9824.4</f>
        <v>-8656.000000000002</v>
      </c>
    </row>
    <row r="203" spans="1:3" ht="15">
      <c r="A203" s="122" t="s">
        <v>718</v>
      </c>
      <c r="B203" s="66" t="s">
        <v>719</v>
      </c>
      <c r="C203" s="138">
        <f>C15+C149</f>
        <v>6925421.7</v>
      </c>
    </row>
    <row r="204" ht="15">
      <c r="B204" s="22"/>
    </row>
    <row r="205" ht="15">
      <c r="B205" s="22"/>
    </row>
    <row r="206" ht="15">
      <c r="B206" s="22"/>
    </row>
    <row r="207" ht="15">
      <c r="B207" s="22"/>
    </row>
    <row r="208" ht="15">
      <c r="B208" s="22"/>
    </row>
    <row r="209" ht="15">
      <c r="B209" s="22"/>
    </row>
    <row r="210" ht="15">
      <c r="B210" s="22"/>
    </row>
    <row r="211" ht="15">
      <c r="B211" s="22"/>
    </row>
    <row r="212" ht="15">
      <c r="B212" s="22"/>
    </row>
    <row r="213" ht="15">
      <c r="B213" s="22"/>
    </row>
    <row r="214" ht="15">
      <c r="B214" s="22"/>
    </row>
    <row r="215" ht="15">
      <c r="B215" s="22"/>
    </row>
    <row r="216" ht="15">
      <c r="B216" s="22"/>
    </row>
    <row r="217" ht="15">
      <c r="B217" s="22"/>
    </row>
    <row r="218" ht="15">
      <c r="B218" s="22"/>
    </row>
    <row r="219" ht="15">
      <c r="B219" s="22"/>
    </row>
    <row r="220" ht="15">
      <c r="B220" s="22"/>
    </row>
    <row r="221" ht="15">
      <c r="B221" s="22"/>
    </row>
    <row r="222" ht="15">
      <c r="B222" s="22"/>
    </row>
    <row r="223" ht="15">
      <c r="B223" s="22"/>
    </row>
    <row r="224" ht="15">
      <c r="B224" s="22"/>
    </row>
    <row r="225" ht="15">
      <c r="B225" s="22"/>
    </row>
    <row r="226" ht="15">
      <c r="B226" s="22"/>
    </row>
    <row r="227" ht="15">
      <c r="B227" s="22"/>
    </row>
    <row r="228" ht="15">
      <c r="B228" s="22"/>
    </row>
    <row r="229" ht="15">
      <c r="B229" s="22"/>
    </row>
    <row r="230" ht="15">
      <c r="B230" s="22"/>
    </row>
    <row r="231" ht="15">
      <c r="B231" s="22"/>
    </row>
    <row r="232" ht="15">
      <c r="B232" s="22"/>
    </row>
    <row r="233" ht="15">
      <c r="B233" s="22"/>
    </row>
    <row r="234" ht="15">
      <c r="B234" s="22"/>
    </row>
    <row r="235" ht="15">
      <c r="B235" s="22"/>
    </row>
  </sheetData>
  <sheetProtection selectLockedCells="1" selectUnlockedCells="1"/>
  <mergeCells count="4">
    <mergeCell ref="A11:C11"/>
    <mergeCell ref="A13:A14"/>
    <mergeCell ref="B13:B14"/>
    <mergeCell ref="C13:C14"/>
  </mergeCells>
  <dataValidations count="1">
    <dataValidation allowBlank="1" promptTitle="Расчетное значение" prompt="Считается автоматически" sqref="A11:C11 C10:C13 C15:C65536"/>
  </dataValidations>
  <printOptions/>
  <pageMargins left="0.7480314960629921" right="0.7480314960629921" top="0.6692913385826772" bottom="0.5118110236220472" header="0.5118110236220472" footer="0.5118110236220472"/>
  <pageSetup firstPageNumber="1" useFirstPageNumber="1" fitToHeight="0" fitToWidth="1" horizontalDpi="600" verticalDpi="600" orientation="portrait" paperSize="9" scale="5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672"/>
  <sheetViews>
    <sheetView showGridLines="0" showZeros="0" view="pageBreakPreview" zoomScaleSheetLayoutView="100" workbookViewId="0" topLeftCell="A1">
      <selection activeCell="G3" sqref="G3"/>
    </sheetView>
  </sheetViews>
  <sheetFormatPr defaultColWidth="9.50390625" defaultRowHeight="12.75"/>
  <cols>
    <col min="1" max="1" width="35.125" style="6" customWidth="1"/>
    <col min="2" max="3" width="3.50390625" style="7" customWidth="1"/>
    <col min="4" max="4" width="11.875" style="7" customWidth="1"/>
    <col min="5" max="5" width="4.125" style="7" customWidth="1"/>
    <col min="6" max="6" width="14.125" style="8" customWidth="1"/>
    <col min="7" max="7" width="14.50390625" style="10" customWidth="1"/>
    <col min="8" max="8" width="16.50390625" style="10" customWidth="1"/>
    <col min="9" max="9" width="17.875" style="10" customWidth="1"/>
    <col min="10" max="10" width="15.50390625" style="14" customWidth="1"/>
    <col min="11" max="11" width="6.125" style="10" customWidth="1"/>
    <col min="12" max="12" width="14.00390625" style="10" customWidth="1"/>
    <col min="13" max="13" width="15.50390625" style="10" customWidth="1"/>
    <col min="14" max="16384" width="9.50390625" style="10" customWidth="1"/>
  </cols>
  <sheetData>
    <row r="1" ht="15">
      <c r="G1" s="81" t="s">
        <v>1016</v>
      </c>
    </row>
    <row r="2" ht="15">
      <c r="G2" s="9" t="s">
        <v>31</v>
      </c>
    </row>
    <row r="3" ht="15">
      <c r="G3" s="41" t="s">
        <v>1816</v>
      </c>
    </row>
    <row r="4" ht="15"/>
    <row r="5" ht="15">
      <c r="G5" s="81" t="s">
        <v>967</v>
      </c>
    </row>
    <row r="6" spans="7:8" ht="15">
      <c r="G6" s="9" t="s">
        <v>31</v>
      </c>
      <c r="H6" s="92"/>
    </row>
    <row r="7" spans="7:8" ht="15">
      <c r="G7" s="41" t="s">
        <v>1518</v>
      </c>
      <c r="H7" s="92"/>
    </row>
    <row r="8" ht="15">
      <c r="G8" s="9"/>
    </row>
    <row r="9" spans="7:8" ht="15">
      <c r="G9" s="81"/>
      <c r="H9" s="41"/>
    </row>
    <row r="10" ht="12" customHeight="1">
      <c r="G10" s="9"/>
    </row>
    <row r="11" spans="7:8" ht="13.5" customHeight="1">
      <c r="G11" s="41"/>
      <c r="H11" s="41"/>
    </row>
    <row r="12" spans="7:8" ht="18.75" customHeight="1">
      <c r="G12" s="41"/>
      <c r="H12" s="41"/>
    </row>
    <row r="13" spans="1:8" ht="15.75" customHeight="1">
      <c r="A13" s="340" t="s">
        <v>1267</v>
      </c>
      <c r="B13" s="340"/>
      <c r="C13" s="340"/>
      <c r="D13" s="340"/>
      <c r="E13" s="340"/>
      <c r="F13" s="340"/>
      <c r="G13" s="340"/>
      <c r="H13" s="340"/>
    </row>
    <row r="14" spans="1:8" ht="17.25" customHeight="1">
      <c r="A14" s="340" t="s">
        <v>456</v>
      </c>
      <c r="B14" s="340"/>
      <c r="C14" s="340"/>
      <c r="D14" s="340"/>
      <c r="E14" s="340"/>
      <c r="F14" s="340"/>
      <c r="G14" s="340"/>
      <c r="H14" s="340"/>
    </row>
    <row r="15" spans="1:8" ht="12" customHeight="1">
      <c r="A15" s="341" t="s">
        <v>283</v>
      </c>
      <c r="B15" s="341"/>
      <c r="C15" s="341"/>
      <c r="D15" s="341"/>
      <c r="E15" s="341"/>
      <c r="F15" s="341"/>
      <c r="G15" s="341"/>
      <c r="H15" s="341"/>
    </row>
    <row r="16" spans="1:8" ht="17.25" customHeight="1">
      <c r="A16" s="342" t="s">
        <v>284</v>
      </c>
      <c r="B16" s="342"/>
      <c r="C16" s="342"/>
      <c r="D16" s="342"/>
      <c r="E16" s="342"/>
      <c r="F16" s="342"/>
      <c r="G16" s="342"/>
      <c r="H16" s="342"/>
    </row>
    <row r="17" spans="1:8" ht="15.75" customHeight="1">
      <c r="A17" s="94"/>
      <c r="B17" s="94"/>
      <c r="C17" s="94"/>
      <c r="D17" s="94"/>
      <c r="E17" s="94"/>
      <c r="F17" s="94"/>
      <c r="G17" s="94"/>
      <c r="H17" s="94"/>
    </row>
    <row r="18" spans="1:8" ht="12" customHeight="1" thickBot="1">
      <c r="A18" s="10"/>
      <c r="B18" s="11"/>
      <c r="C18" s="11"/>
      <c r="D18" s="11"/>
      <c r="E18" s="11"/>
      <c r="F18" s="11"/>
      <c r="G18" s="11"/>
      <c r="H18" s="12" t="s">
        <v>32</v>
      </c>
    </row>
    <row r="19" spans="1:10" s="13" customFormat="1" ht="24" customHeight="1">
      <c r="A19" s="343" t="s">
        <v>658</v>
      </c>
      <c r="B19" s="345" t="s">
        <v>346</v>
      </c>
      <c r="C19" s="346"/>
      <c r="D19" s="346"/>
      <c r="E19" s="347"/>
      <c r="F19" s="348" t="s">
        <v>659</v>
      </c>
      <c r="G19" s="350" t="s">
        <v>660</v>
      </c>
      <c r="H19" s="351"/>
      <c r="J19" s="281"/>
    </row>
    <row r="20" spans="1:10" s="13" customFormat="1" ht="54.75" customHeight="1" thickBot="1">
      <c r="A20" s="344"/>
      <c r="B20" s="139" t="s">
        <v>1141</v>
      </c>
      <c r="C20" s="139" t="s">
        <v>1142</v>
      </c>
      <c r="D20" s="139" t="s">
        <v>1143</v>
      </c>
      <c r="E20" s="139" t="s">
        <v>1144</v>
      </c>
      <c r="F20" s="349"/>
      <c r="G20" s="140" t="s">
        <v>979</v>
      </c>
      <c r="H20" s="141" t="s">
        <v>125</v>
      </c>
      <c r="J20" s="281"/>
    </row>
    <row r="21" spans="1:13" ht="15.75">
      <c r="A21" s="142" t="s">
        <v>176</v>
      </c>
      <c r="B21" s="143"/>
      <c r="C21" s="143"/>
      <c r="D21" s="143" t="s">
        <v>520</v>
      </c>
      <c r="E21" s="143"/>
      <c r="F21" s="144">
        <f>F22+F264+F359+F510+F689+F729+F993+F1120+F1324+F1377+F1406+F1412</f>
        <v>7805867.600000001</v>
      </c>
      <c r="G21" s="144">
        <f>G22+G264+G359+G510+G689+G729+G993+G1120+G1324+G1377+G1406+G1412</f>
        <v>5349798.9</v>
      </c>
      <c r="H21" s="144">
        <f>H22+H264+H359+H510+H689+H729+H993+H1120+H1324+H1377+H1406+H1412</f>
        <v>2426068.7</v>
      </c>
      <c r="I21" s="273">
        <v>7542322.1</v>
      </c>
      <c r="J21" s="273">
        <f>F21-I21</f>
        <v>263545.50000000093</v>
      </c>
      <c r="K21" s="273"/>
      <c r="L21" s="273"/>
      <c r="M21" s="282"/>
    </row>
    <row r="22" spans="1:9" ht="25.5">
      <c r="A22" s="145" t="s">
        <v>70</v>
      </c>
      <c r="B22" s="146" t="s">
        <v>1145</v>
      </c>
      <c r="C22" s="146"/>
      <c r="D22" s="147"/>
      <c r="E22" s="147"/>
      <c r="F22" s="277">
        <f>F23+F28+F37+F93+F108+F115+F128</f>
        <v>934192.9000000001</v>
      </c>
      <c r="G22" s="277">
        <f>G23+G28+G37+G93+G108+G115+G128</f>
        <v>906188.9000000001</v>
      </c>
      <c r="H22" s="277">
        <f>H23+H28+H37+H93+H108+H115+H128</f>
        <v>28004</v>
      </c>
      <c r="I22" s="61"/>
    </row>
    <row r="23" spans="1:8" ht="36">
      <c r="A23" s="149" t="s">
        <v>1152</v>
      </c>
      <c r="B23" s="147" t="s">
        <v>1145</v>
      </c>
      <c r="C23" s="150" t="s">
        <v>405</v>
      </c>
      <c r="D23" s="147"/>
      <c r="E23" s="147"/>
      <c r="F23" s="151">
        <f aca="true" t="shared" si="0" ref="F23:G26">F24</f>
        <v>3212.6</v>
      </c>
      <c r="G23" s="151">
        <f t="shared" si="0"/>
        <v>3212.6</v>
      </c>
      <c r="H23" s="151"/>
    </row>
    <row r="24" spans="1:8" ht="48">
      <c r="A24" s="152" t="s">
        <v>33</v>
      </c>
      <c r="B24" s="150" t="s">
        <v>1145</v>
      </c>
      <c r="C24" s="150" t="s">
        <v>405</v>
      </c>
      <c r="D24" s="147" t="s">
        <v>136</v>
      </c>
      <c r="E24" s="150"/>
      <c r="F24" s="151">
        <f t="shared" si="0"/>
        <v>3212.6</v>
      </c>
      <c r="G24" s="151">
        <f t="shared" si="0"/>
        <v>3212.6</v>
      </c>
      <c r="H24" s="151"/>
    </row>
    <row r="25" spans="1:8" ht="24">
      <c r="A25" s="153" t="s">
        <v>29</v>
      </c>
      <c r="B25" s="150" t="s">
        <v>1145</v>
      </c>
      <c r="C25" s="150" t="s">
        <v>405</v>
      </c>
      <c r="D25" s="147" t="s">
        <v>585</v>
      </c>
      <c r="E25" s="150"/>
      <c r="F25" s="151">
        <f t="shared" si="0"/>
        <v>3212.6</v>
      </c>
      <c r="G25" s="151">
        <f t="shared" si="0"/>
        <v>3212.6</v>
      </c>
      <c r="H25" s="151"/>
    </row>
    <row r="26" spans="1:8" ht="72">
      <c r="A26" s="153" t="s">
        <v>1065</v>
      </c>
      <c r="B26" s="150" t="s">
        <v>1145</v>
      </c>
      <c r="C26" s="150" t="s">
        <v>405</v>
      </c>
      <c r="D26" s="147" t="s">
        <v>585</v>
      </c>
      <c r="E26" s="150" t="s">
        <v>960</v>
      </c>
      <c r="F26" s="151">
        <f t="shared" si="0"/>
        <v>3212.6</v>
      </c>
      <c r="G26" s="151">
        <f t="shared" si="0"/>
        <v>3212.6</v>
      </c>
      <c r="H26" s="151"/>
    </row>
    <row r="27" spans="1:8" ht="24">
      <c r="A27" s="153" t="s">
        <v>515</v>
      </c>
      <c r="B27" s="150" t="s">
        <v>1145</v>
      </c>
      <c r="C27" s="150" t="s">
        <v>405</v>
      </c>
      <c r="D27" s="147" t="s">
        <v>585</v>
      </c>
      <c r="E27" s="150" t="s">
        <v>115</v>
      </c>
      <c r="F27" s="154">
        <f>3046-60.6-1698.5+1313+165.7+447</f>
        <v>3212.6</v>
      </c>
      <c r="G27" s="155">
        <f aca="true" t="shared" si="1" ref="G27:G32">F27-H27</f>
        <v>3212.6</v>
      </c>
      <c r="H27" s="151"/>
    </row>
    <row r="28" spans="1:8" ht="48">
      <c r="A28" s="156" t="s">
        <v>442</v>
      </c>
      <c r="B28" s="147" t="s">
        <v>1145</v>
      </c>
      <c r="C28" s="147" t="s">
        <v>436</v>
      </c>
      <c r="D28" s="147"/>
      <c r="E28" s="147"/>
      <c r="F28" s="155">
        <f>F29</f>
        <v>9900.300000000001</v>
      </c>
      <c r="G28" s="155">
        <f t="shared" si="1"/>
        <v>9900.300000000001</v>
      </c>
      <c r="H28" s="155"/>
    </row>
    <row r="29" spans="1:8" ht="48">
      <c r="A29" s="152" t="s">
        <v>33</v>
      </c>
      <c r="B29" s="147" t="s">
        <v>1145</v>
      </c>
      <c r="C29" s="147" t="s">
        <v>436</v>
      </c>
      <c r="D29" s="147" t="s">
        <v>136</v>
      </c>
      <c r="E29" s="147"/>
      <c r="F29" s="155">
        <f>F30</f>
        <v>9900.300000000001</v>
      </c>
      <c r="G29" s="155">
        <f t="shared" si="1"/>
        <v>9900.300000000001</v>
      </c>
      <c r="H29" s="155"/>
    </row>
    <row r="30" spans="1:8" ht="24">
      <c r="A30" s="157" t="s">
        <v>635</v>
      </c>
      <c r="B30" s="147" t="s">
        <v>443</v>
      </c>
      <c r="C30" s="147" t="s">
        <v>436</v>
      </c>
      <c r="D30" s="147" t="s">
        <v>586</v>
      </c>
      <c r="E30" s="147"/>
      <c r="F30" s="151">
        <f>F31+F33+F35</f>
        <v>9900.300000000001</v>
      </c>
      <c r="G30" s="155">
        <f t="shared" si="1"/>
        <v>9900.300000000001</v>
      </c>
      <c r="H30" s="151"/>
    </row>
    <row r="31" spans="1:8" ht="72">
      <c r="A31" s="153" t="s">
        <v>1065</v>
      </c>
      <c r="B31" s="147" t="s">
        <v>1145</v>
      </c>
      <c r="C31" s="147" t="s">
        <v>436</v>
      </c>
      <c r="D31" s="147" t="s">
        <v>586</v>
      </c>
      <c r="E31" s="147" t="s">
        <v>960</v>
      </c>
      <c r="F31" s="151">
        <f>F32</f>
        <v>9547.6</v>
      </c>
      <c r="G31" s="155">
        <f t="shared" si="1"/>
        <v>9547.6</v>
      </c>
      <c r="H31" s="151"/>
    </row>
    <row r="32" spans="1:8" ht="24">
      <c r="A32" s="153" t="s">
        <v>515</v>
      </c>
      <c r="B32" s="147" t="s">
        <v>1145</v>
      </c>
      <c r="C32" s="147" t="s">
        <v>436</v>
      </c>
      <c r="D32" s="147" t="s">
        <v>586</v>
      </c>
      <c r="E32" s="147" t="s">
        <v>115</v>
      </c>
      <c r="F32" s="154">
        <v>9547.6</v>
      </c>
      <c r="G32" s="155">
        <f t="shared" si="1"/>
        <v>9547.6</v>
      </c>
      <c r="H32" s="151"/>
    </row>
    <row r="33" spans="1:8" ht="24">
      <c r="A33" s="153" t="s">
        <v>1066</v>
      </c>
      <c r="B33" s="147" t="s">
        <v>1145</v>
      </c>
      <c r="C33" s="147" t="s">
        <v>436</v>
      </c>
      <c r="D33" s="147" t="s">
        <v>586</v>
      </c>
      <c r="E33" s="147" t="s">
        <v>529</v>
      </c>
      <c r="F33" s="155">
        <f>F34</f>
        <v>230.7</v>
      </c>
      <c r="G33" s="155">
        <f>G34</f>
        <v>230.7</v>
      </c>
      <c r="H33" s="158">
        <f>H34</f>
        <v>0</v>
      </c>
    </row>
    <row r="34" spans="1:8" ht="24">
      <c r="A34" s="153" t="s">
        <v>974</v>
      </c>
      <c r="B34" s="147" t="s">
        <v>1145</v>
      </c>
      <c r="C34" s="147" t="s">
        <v>436</v>
      </c>
      <c r="D34" s="147" t="s">
        <v>586</v>
      </c>
      <c r="E34" s="147" t="s">
        <v>429</v>
      </c>
      <c r="F34" s="158">
        <f>255.7+75-100</f>
        <v>230.7</v>
      </c>
      <c r="G34" s="155">
        <f>F34-H34</f>
        <v>230.7</v>
      </c>
      <c r="H34" s="158"/>
    </row>
    <row r="35" spans="1:8" ht="24">
      <c r="A35" s="153" t="s">
        <v>985</v>
      </c>
      <c r="B35" s="147" t="s">
        <v>1145</v>
      </c>
      <c r="C35" s="147" t="s">
        <v>436</v>
      </c>
      <c r="D35" s="147" t="s">
        <v>586</v>
      </c>
      <c r="E35" s="147" t="s">
        <v>986</v>
      </c>
      <c r="F35" s="155">
        <f>F36</f>
        <v>122</v>
      </c>
      <c r="G35" s="155">
        <f>F35-H35</f>
        <v>122</v>
      </c>
      <c r="H35" s="155"/>
    </row>
    <row r="36" spans="1:8" ht="24">
      <c r="A36" s="153" t="s">
        <v>459</v>
      </c>
      <c r="B36" s="147" t="s">
        <v>1145</v>
      </c>
      <c r="C36" s="147" t="s">
        <v>436</v>
      </c>
      <c r="D36" s="147" t="s">
        <v>586</v>
      </c>
      <c r="E36" s="147" t="s">
        <v>460</v>
      </c>
      <c r="F36" s="158">
        <f>2+120</f>
        <v>122</v>
      </c>
      <c r="G36" s="155">
        <f>F36-H36</f>
        <v>122</v>
      </c>
      <c r="H36" s="155"/>
    </row>
    <row r="37" spans="1:8" ht="48">
      <c r="A37" s="156" t="s">
        <v>35</v>
      </c>
      <c r="B37" s="147" t="s">
        <v>1145</v>
      </c>
      <c r="C37" s="147" t="s">
        <v>936</v>
      </c>
      <c r="D37" s="147"/>
      <c r="E37" s="147"/>
      <c r="F37" s="155">
        <f>F38+F90</f>
        <v>271156.2</v>
      </c>
      <c r="G37" s="155">
        <f>G38+G90</f>
        <v>253638.2</v>
      </c>
      <c r="H37" s="155">
        <f>H38+H90</f>
        <v>17518</v>
      </c>
    </row>
    <row r="38" spans="1:8" ht="24">
      <c r="A38" s="160" t="s">
        <v>1268</v>
      </c>
      <c r="B38" s="147" t="s">
        <v>1145</v>
      </c>
      <c r="C38" s="147" t="s">
        <v>936</v>
      </c>
      <c r="D38" s="147" t="s">
        <v>733</v>
      </c>
      <c r="E38" s="147"/>
      <c r="F38" s="155">
        <f>F39+F59+F64+F83</f>
        <v>266787.2</v>
      </c>
      <c r="G38" s="155">
        <f>G39+G59+G64+G83</f>
        <v>253638.2</v>
      </c>
      <c r="H38" s="155">
        <f>H39+H59+H64+H83</f>
        <v>13149</v>
      </c>
    </row>
    <row r="39" spans="1:8" ht="36">
      <c r="A39" s="152" t="s">
        <v>1269</v>
      </c>
      <c r="B39" s="147" t="s">
        <v>1145</v>
      </c>
      <c r="C39" s="147" t="s">
        <v>936</v>
      </c>
      <c r="D39" s="147" t="s">
        <v>382</v>
      </c>
      <c r="E39" s="147"/>
      <c r="F39" s="155">
        <f>F40+F44+F48+F52</f>
        <v>5202</v>
      </c>
      <c r="G39" s="155">
        <f>G40+G44+G48+G52</f>
        <v>4782</v>
      </c>
      <c r="H39" s="155">
        <f>H40+H44+H48+H52</f>
        <v>420</v>
      </c>
    </row>
    <row r="40" spans="1:8" ht="60">
      <c r="A40" s="152" t="s">
        <v>1630</v>
      </c>
      <c r="B40" s="147" t="s">
        <v>1145</v>
      </c>
      <c r="C40" s="147" t="s">
        <v>936</v>
      </c>
      <c r="D40" s="147" t="s">
        <v>383</v>
      </c>
      <c r="E40" s="147"/>
      <c r="F40" s="155">
        <f>F41</f>
        <v>205</v>
      </c>
      <c r="G40" s="155">
        <f aca="true" t="shared" si="2" ref="G40:G58">F40-H40</f>
        <v>205</v>
      </c>
      <c r="H40" s="155"/>
    </row>
    <row r="41" spans="1:8" ht="24">
      <c r="A41" s="157" t="s">
        <v>191</v>
      </c>
      <c r="B41" s="147" t="s">
        <v>1145</v>
      </c>
      <c r="C41" s="147" t="s">
        <v>936</v>
      </c>
      <c r="D41" s="147" t="s">
        <v>609</v>
      </c>
      <c r="E41" s="147"/>
      <c r="F41" s="155">
        <f>F42</f>
        <v>205</v>
      </c>
      <c r="G41" s="155">
        <f t="shared" si="2"/>
        <v>205</v>
      </c>
      <c r="H41" s="155"/>
    </row>
    <row r="42" spans="1:8" ht="24">
      <c r="A42" s="153" t="s">
        <v>1066</v>
      </c>
      <c r="B42" s="147" t="s">
        <v>1145</v>
      </c>
      <c r="C42" s="147" t="s">
        <v>936</v>
      </c>
      <c r="D42" s="147" t="s">
        <v>609</v>
      </c>
      <c r="E42" s="147" t="s">
        <v>529</v>
      </c>
      <c r="F42" s="155">
        <f>F43</f>
        <v>205</v>
      </c>
      <c r="G42" s="155">
        <f t="shared" si="2"/>
        <v>205</v>
      </c>
      <c r="H42" s="155"/>
    </row>
    <row r="43" spans="1:8" ht="24">
      <c r="A43" s="153" t="s">
        <v>591</v>
      </c>
      <c r="B43" s="147" t="s">
        <v>1145</v>
      </c>
      <c r="C43" s="147" t="s">
        <v>936</v>
      </c>
      <c r="D43" s="147" t="s">
        <v>609</v>
      </c>
      <c r="E43" s="147" t="s">
        <v>429</v>
      </c>
      <c r="F43" s="158">
        <f>4300+205-4300</f>
        <v>205</v>
      </c>
      <c r="G43" s="155">
        <f t="shared" si="2"/>
        <v>205</v>
      </c>
      <c r="H43" s="155"/>
    </row>
    <row r="44" spans="1:8" ht="72">
      <c r="A44" s="153" t="s">
        <v>1631</v>
      </c>
      <c r="B44" s="147" t="s">
        <v>1145</v>
      </c>
      <c r="C44" s="147" t="s">
        <v>936</v>
      </c>
      <c r="D44" s="147" t="s">
        <v>386</v>
      </c>
      <c r="E44" s="147"/>
      <c r="F44" s="155">
        <f>F45</f>
        <v>4300</v>
      </c>
      <c r="G44" s="155">
        <f t="shared" si="2"/>
        <v>4300</v>
      </c>
      <c r="H44" s="155"/>
    </row>
    <row r="45" spans="1:8" ht="24">
      <c r="A45" s="157" t="s">
        <v>191</v>
      </c>
      <c r="B45" s="147" t="s">
        <v>1145</v>
      </c>
      <c r="C45" s="147" t="s">
        <v>936</v>
      </c>
      <c r="D45" s="147" t="s">
        <v>679</v>
      </c>
      <c r="E45" s="147"/>
      <c r="F45" s="155">
        <f>F46</f>
        <v>4300</v>
      </c>
      <c r="G45" s="155">
        <f t="shared" si="2"/>
        <v>4300</v>
      </c>
      <c r="H45" s="155"/>
    </row>
    <row r="46" spans="1:8" ht="24">
      <c r="A46" s="153" t="s">
        <v>1066</v>
      </c>
      <c r="B46" s="147" t="s">
        <v>1145</v>
      </c>
      <c r="C46" s="147" t="s">
        <v>936</v>
      </c>
      <c r="D46" s="147" t="s">
        <v>679</v>
      </c>
      <c r="E46" s="147" t="s">
        <v>529</v>
      </c>
      <c r="F46" s="155">
        <f>F47</f>
        <v>4300</v>
      </c>
      <c r="G46" s="155">
        <f t="shared" si="2"/>
        <v>4300</v>
      </c>
      <c r="H46" s="155"/>
    </row>
    <row r="47" spans="1:8" ht="24">
      <c r="A47" s="153" t="s">
        <v>591</v>
      </c>
      <c r="B47" s="147" t="s">
        <v>1145</v>
      </c>
      <c r="C47" s="147" t="s">
        <v>936</v>
      </c>
      <c r="D47" s="147" t="s">
        <v>679</v>
      </c>
      <c r="E47" s="147" t="s">
        <v>429</v>
      </c>
      <c r="F47" s="158">
        <f>200+77+4300-277</f>
        <v>4300</v>
      </c>
      <c r="G47" s="155">
        <f t="shared" si="2"/>
        <v>4300</v>
      </c>
      <c r="H47" s="155"/>
    </row>
    <row r="48" spans="1:8" ht="72">
      <c r="A48" s="153" t="s">
        <v>1632</v>
      </c>
      <c r="B48" s="147" t="s">
        <v>1145</v>
      </c>
      <c r="C48" s="147" t="s">
        <v>936</v>
      </c>
      <c r="D48" s="147" t="s">
        <v>388</v>
      </c>
      <c r="E48" s="147"/>
      <c r="F48" s="155">
        <f>F49</f>
        <v>277</v>
      </c>
      <c r="G48" s="155">
        <f t="shared" si="2"/>
        <v>277</v>
      </c>
      <c r="H48" s="155"/>
    </row>
    <row r="49" spans="1:8" ht="24">
      <c r="A49" s="157" t="s">
        <v>191</v>
      </c>
      <c r="B49" s="147" t="s">
        <v>1145</v>
      </c>
      <c r="C49" s="147" t="s">
        <v>936</v>
      </c>
      <c r="D49" s="147" t="s">
        <v>1633</v>
      </c>
      <c r="E49" s="147"/>
      <c r="F49" s="155">
        <f>F50</f>
        <v>277</v>
      </c>
      <c r="G49" s="155">
        <f t="shared" si="2"/>
        <v>277</v>
      </c>
      <c r="H49" s="155"/>
    </row>
    <row r="50" spans="1:8" ht="24">
      <c r="A50" s="153" t="s">
        <v>1066</v>
      </c>
      <c r="B50" s="147" t="s">
        <v>1145</v>
      </c>
      <c r="C50" s="147" t="s">
        <v>936</v>
      </c>
      <c r="D50" s="147" t="s">
        <v>1633</v>
      </c>
      <c r="E50" s="147" t="s">
        <v>529</v>
      </c>
      <c r="F50" s="155">
        <f>F51</f>
        <v>277</v>
      </c>
      <c r="G50" s="155">
        <f t="shared" si="2"/>
        <v>277</v>
      </c>
      <c r="H50" s="155"/>
    </row>
    <row r="51" spans="1:8" ht="24">
      <c r="A51" s="153" t="s">
        <v>591</v>
      </c>
      <c r="B51" s="147" t="s">
        <v>1145</v>
      </c>
      <c r="C51" s="147" t="s">
        <v>936</v>
      </c>
      <c r="D51" s="147" t="s">
        <v>1633</v>
      </c>
      <c r="E51" s="147" t="s">
        <v>429</v>
      </c>
      <c r="F51" s="158">
        <v>277</v>
      </c>
      <c r="G51" s="155">
        <f t="shared" si="2"/>
        <v>277</v>
      </c>
      <c r="H51" s="155"/>
    </row>
    <row r="52" spans="1:8" ht="60">
      <c r="A52" s="152" t="s">
        <v>1634</v>
      </c>
      <c r="B52" s="147" t="s">
        <v>1145</v>
      </c>
      <c r="C52" s="147" t="s">
        <v>936</v>
      </c>
      <c r="D52" s="147" t="s">
        <v>745</v>
      </c>
      <c r="E52" s="147"/>
      <c r="F52" s="155">
        <f>F53+F56</f>
        <v>420</v>
      </c>
      <c r="G52" s="155">
        <f t="shared" si="2"/>
        <v>0</v>
      </c>
      <c r="H52" s="155">
        <f>H53+H56</f>
        <v>420</v>
      </c>
    </row>
    <row r="53" spans="1:8" ht="48">
      <c r="A53" s="153" t="s">
        <v>943</v>
      </c>
      <c r="B53" s="147" t="s">
        <v>1145</v>
      </c>
      <c r="C53" s="147" t="s">
        <v>936</v>
      </c>
      <c r="D53" s="147" t="s">
        <v>608</v>
      </c>
      <c r="E53" s="147"/>
      <c r="F53" s="155">
        <f>F54</f>
        <v>420</v>
      </c>
      <c r="G53" s="155">
        <f t="shared" si="2"/>
        <v>0</v>
      </c>
      <c r="H53" s="155">
        <f>H54</f>
        <v>420</v>
      </c>
    </row>
    <row r="54" spans="1:8" ht="24">
      <c r="A54" s="153" t="s">
        <v>1066</v>
      </c>
      <c r="B54" s="147" t="s">
        <v>1145</v>
      </c>
      <c r="C54" s="147" t="s">
        <v>936</v>
      </c>
      <c r="D54" s="147" t="s">
        <v>608</v>
      </c>
      <c r="E54" s="147" t="s">
        <v>529</v>
      </c>
      <c r="F54" s="155">
        <f>F55</f>
        <v>420</v>
      </c>
      <c r="G54" s="155">
        <f t="shared" si="2"/>
        <v>0</v>
      </c>
      <c r="H54" s="155">
        <f>H55</f>
        <v>420</v>
      </c>
    </row>
    <row r="55" spans="1:8" ht="24">
      <c r="A55" s="153" t="s">
        <v>591</v>
      </c>
      <c r="B55" s="147" t="s">
        <v>1145</v>
      </c>
      <c r="C55" s="147" t="s">
        <v>936</v>
      </c>
      <c r="D55" s="147" t="s">
        <v>608</v>
      </c>
      <c r="E55" s="147" t="s">
        <v>429</v>
      </c>
      <c r="F55" s="158">
        <v>420</v>
      </c>
      <c r="G55" s="155">
        <f t="shared" si="2"/>
        <v>0</v>
      </c>
      <c r="H55" s="155">
        <f>F55</f>
        <v>420</v>
      </c>
    </row>
    <row r="56" spans="1:8" ht="84">
      <c r="A56" s="153" t="s">
        <v>941</v>
      </c>
      <c r="B56" s="147" t="s">
        <v>1145</v>
      </c>
      <c r="C56" s="147" t="s">
        <v>936</v>
      </c>
      <c r="D56" s="147" t="s">
        <v>607</v>
      </c>
      <c r="E56" s="147"/>
      <c r="F56" s="155">
        <f>F57</f>
        <v>0</v>
      </c>
      <c r="G56" s="155">
        <f t="shared" si="2"/>
        <v>0</v>
      </c>
      <c r="H56" s="155">
        <f>H57</f>
        <v>0</v>
      </c>
    </row>
    <row r="57" spans="1:8" ht="24">
      <c r="A57" s="153" t="s">
        <v>1066</v>
      </c>
      <c r="B57" s="147" t="s">
        <v>1145</v>
      </c>
      <c r="C57" s="147" t="s">
        <v>936</v>
      </c>
      <c r="D57" s="147" t="s">
        <v>607</v>
      </c>
      <c r="E57" s="147" t="s">
        <v>529</v>
      </c>
      <c r="F57" s="155">
        <f>F58</f>
        <v>0</v>
      </c>
      <c r="G57" s="155">
        <f t="shared" si="2"/>
        <v>0</v>
      </c>
      <c r="H57" s="155">
        <f>H58</f>
        <v>0</v>
      </c>
    </row>
    <row r="58" spans="1:8" ht="24">
      <c r="A58" s="153" t="s">
        <v>591</v>
      </c>
      <c r="B58" s="147" t="s">
        <v>1145</v>
      </c>
      <c r="C58" s="147" t="s">
        <v>936</v>
      </c>
      <c r="D58" s="147" t="s">
        <v>607</v>
      </c>
      <c r="E58" s="147" t="s">
        <v>429</v>
      </c>
      <c r="F58" s="158">
        <f>490-490</f>
        <v>0</v>
      </c>
      <c r="G58" s="155">
        <f t="shared" si="2"/>
        <v>0</v>
      </c>
      <c r="H58" s="155">
        <f>F58</f>
        <v>0</v>
      </c>
    </row>
    <row r="59" spans="1:8" ht="36">
      <c r="A59" s="153" t="s">
        <v>1270</v>
      </c>
      <c r="B59" s="147" t="s">
        <v>1145</v>
      </c>
      <c r="C59" s="147" t="s">
        <v>936</v>
      </c>
      <c r="D59" s="147" t="s">
        <v>239</v>
      </c>
      <c r="E59" s="147"/>
      <c r="F59" s="155">
        <f>F62</f>
        <v>550</v>
      </c>
      <c r="G59" s="155">
        <f>F59-H59</f>
        <v>550</v>
      </c>
      <c r="H59" s="155">
        <f>H67</f>
        <v>0</v>
      </c>
    </row>
    <row r="60" spans="1:8" ht="36">
      <c r="A60" s="153" t="s">
        <v>238</v>
      </c>
      <c r="B60" s="147" t="s">
        <v>1145</v>
      </c>
      <c r="C60" s="147" t="s">
        <v>936</v>
      </c>
      <c r="D60" s="147" t="s">
        <v>605</v>
      </c>
      <c r="E60" s="147"/>
      <c r="F60" s="155">
        <f>F61</f>
        <v>550</v>
      </c>
      <c r="G60" s="155">
        <f>G61</f>
        <v>550</v>
      </c>
      <c r="H60" s="155"/>
    </row>
    <row r="61" spans="1:8" ht="24">
      <c r="A61" s="157" t="s">
        <v>191</v>
      </c>
      <c r="B61" s="147" t="s">
        <v>1145</v>
      </c>
      <c r="C61" s="147" t="s">
        <v>936</v>
      </c>
      <c r="D61" s="147" t="s">
        <v>606</v>
      </c>
      <c r="E61" s="147"/>
      <c r="F61" s="155">
        <f>F62</f>
        <v>550</v>
      </c>
      <c r="G61" s="155">
        <f>G62</f>
        <v>550</v>
      </c>
      <c r="H61" s="155"/>
    </row>
    <row r="62" spans="1:8" ht="24">
      <c r="A62" s="153" t="s">
        <v>1066</v>
      </c>
      <c r="B62" s="147" t="s">
        <v>1145</v>
      </c>
      <c r="C62" s="147" t="s">
        <v>936</v>
      </c>
      <c r="D62" s="147" t="s">
        <v>606</v>
      </c>
      <c r="E62" s="147" t="s">
        <v>529</v>
      </c>
      <c r="F62" s="155">
        <f>F63</f>
        <v>550</v>
      </c>
      <c r="G62" s="155">
        <f>F62-H62</f>
        <v>550</v>
      </c>
      <c r="H62" s="155"/>
    </row>
    <row r="63" spans="1:8" ht="24">
      <c r="A63" s="153" t="s">
        <v>591</v>
      </c>
      <c r="B63" s="147" t="s">
        <v>1145</v>
      </c>
      <c r="C63" s="147" t="s">
        <v>936</v>
      </c>
      <c r="D63" s="147" t="s">
        <v>606</v>
      </c>
      <c r="E63" s="147" t="s">
        <v>429</v>
      </c>
      <c r="F63" s="158">
        <v>550</v>
      </c>
      <c r="G63" s="155">
        <f>F63-H63</f>
        <v>550</v>
      </c>
      <c r="H63" s="155"/>
    </row>
    <row r="64" spans="1:8" ht="36">
      <c r="A64" s="152" t="s">
        <v>1271</v>
      </c>
      <c r="B64" s="147" t="s">
        <v>1145</v>
      </c>
      <c r="C64" s="147" t="s">
        <v>936</v>
      </c>
      <c r="D64" s="147" t="s">
        <v>240</v>
      </c>
      <c r="E64" s="147"/>
      <c r="F64" s="155">
        <f>F66+F74+F76+F79+F81</f>
        <v>257594.2</v>
      </c>
      <c r="G64" s="155">
        <f>G66+G74+G76+G79+G81</f>
        <v>248306.2</v>
      </c>
      <c r="H64" s="155">
        <f>H66+H74+H76+H79+H81</f>
        <v>9288</v>
      </c>
    </row>
    <row r="65" spans="1:8" ht="36">
      <c r="A65" s="152" t="s">
        <v>726</v>
      </c>
      <c r="B65" s="147" t="s">
        <v>1145</v>
      </c>
      <c r="C65" s="147" t="s">
        <v>936</v>
      </c>
      <c r="D65" s="147" t="s">
        <v>241</v>
      </c>
      <c r="E65" s="147"/>
      <c r="F65" s="155">
        <f>F66+F73+F78</f>
        <v>257594.2</v>
      </c>
      <c r="G65" s="155">
        <f>G66+G73+G78</f>
        <v>248306.2</v>
      </c>
      <c r="H65" s="155">
        <f>H66+H73+H78</f>
        <v>9288</v>
      </c>
    </row>
    <row r="66" spans="1:8" ht="24">
      <c r="A66" s="157" t="s">
        <v>191</v>
      </c>
      <c r="B66" s="147" t="s">
        <v>1145</v>
      </c>
      <c r="C66" s="147" t="s">
        <v>936</v>
      </c>
      <c r="D66" s="147" t="s">
        <v>242</v>
      </c>
      <c r="E66" s="147"/>
      <c r="F66" s="155">
        <f>F67+F69+F71</f>
        <v>248306.2</v>
      </c>
      <c r="G66" s="155">
        <f aca="true" t="shared" si="3" ref="G66:G72">F66-H66</f>
        <v>248306.2</v>
      </c>
      <c r="H66" s="155"/>
    </row>
    <row r="67" spans="1:8" ht="72">
      <c r="A67" s="153" t="s">
        <v>1065</v>
      </c>
      <c r="B67" s="147" t="s">
        <v>1145</v>
      </c>
      <c r="C67" s="147" t="s">
        <v>936</v>
      </c>
      <c r="D67" s="147" t="s">
        <v>242</v>
      </c>
      <c r="E67" s="147" t="s">
        <v>960</v>
      </c>
      <c r="F67" s="155">
        <f>F68</f>
        <v>220207.90000000002</v>
      </c>
      <c r="G67" s="155">
        <f t="shared" si="3"/>
        <v>220207.90000000002</v>
      </c>
      <c r="H67" s="155"/>
    </row>
    <row r="68" spans="1:8" ht="24">
      <c r="A68" s="153" t="s">
        <v>515</v>
      </c>
      <c r="B68" s="147" t="s">
        <v>1145</v>
      </c>
      <c r="C68" s="147" t="s">
        <v>936</v>
      </c>
      <c r="D68" s="147" t="s">
        <v>242</v>
      </c>
      <c r="E68" s="147" t="s">
        <v>115</v>
      </c>
      <c r="F68" s="158">
        <f>100+50663.7+167760.7-193.2-34+4955.7-2338-707</f>
        <v>220207.90000000002</v>
      </c>
      <c r="G68" s="155">
        <f t="shared" si="3"/>
        <v>220207.90000000002</v>
      </c>
      <c r="H68" s="155"/>
    </row>
    <row r="69" spans="1:8" ht="24">
      <c r="A69" s="153" t="s">
        <v>1066</v>
      </c>
      <c r="B69" s="147" t="s">
        <v>1145</v>
      </c>
      <c r="C69" s="147" t="s">
        <v>936</v>
      </c>
      <c r="D69" s="147" t="s">
        <v>242</v>
      </c>
      <c r="E69" s="147" t="s">
        <v>529</v>
      </c>
      <c r="F69" s="155">
        <f>F70</f>
        <v>21058.3</v>
      </c>
      <c r="G69" s="155">
        <f t="shared" si="3"/>
        <v>21058.3</v>
      </c>
      <c r="H69" s="158"/>
    </row>
    <row r="70" spans="1:8" ht="24">
      <c r="A70" s="153" t="s">
        <v>591</v>
      </c>
      <c r="B70" s="147" t="s">
        <v>1145</v>
      </c>
      <c r="C70" s="147" t="s">
        <v>936</v>
      </c>
      <c r="D70" s="147" t="s">
        <v>242</v>
      </c>
      <c r="E70" s="147" t="s">
        <v>429</v>
      </c>
      <c r="F70" s="158">
        <f>12367.6+20+2000-3300+88-1000+6600+585.4+3665.5+31.8</f>
        <v>21058.3</v>
      </c>
      <c r="G70" s="155">
        <f t="shared" si="3"/>
        <v>21058.3</v>
      </c>
      <c r="H70" s="158"/>
    </row>
    <row r="71" spans="1:8" ht="24">
      <c r="A71" s="153" t="s">
        <v>985</v>
      </c>
      <c r="B71" s="147" t="s">
        <v>1145</v>
      </c>
      <c r="C71" s="147" t="s">
        <v>936</v>
      </c>
      <c r="D71" s="147" t="s">
        <v>242</v>
      </c>
      <c r="E71" s="147" t="s">
        <v>986</v>
      </c>
      <c r="F71" s="155">
        <f>F72</f>
        <v>7040</v>
      </c>
      <c r="G71" s="155">
        <f t="shared" si="3"/>
        <v>7040</v>
      </c>
      <c r="H71" s="155"/>
    </row>
    <row r="72" spans="1:8" ht="24">
      <c r="A72" s="153" t="s">
        <v>459</v>
      </c>
      <c r="B72" s="147" t="s">
        <v>1145</v>
      </c>
      <c r="C72" s="147" t="s">
        <v>936</v>
      </c>
      <c r="D72" s="147" t="s">
        <v>242</v>
      </c>
      <c r="E72" s="147" t="s">
        <v>460</v>
      </c>
      <c r="F72" s="158">
        <f>7030+10</f>
        <v>7040</v>
      </c>
      <c r="G72" s="155">
        <f t="shared" si="3"/>
        <v>7040</v>
      </c>
      <c r="H72" s="158"/>
    </row>
    <row r="73" spans="1:8" ht="84">
      <c r="A73" s="153" t="s">
        <v>941</v>
      </c>
      <c r="B73" s="147" t="s">
        <v>1145</v>
      </c>
      <c r="C73" s="147" t="s">
        <v>936</v>
      </c>
      <c r="D73" s="147" t="s">
        <v>942</v>
      </c>
      <c r="E73" s="147"/>
      <c r="F73" s="155">
        <f>F74+F76</f>
        <v>3626</v>
      </c>
      <c r="G73" s="155"/>
      <c r="H73" s="155">
        <f>H75+H77</f>
        <v>3626</v>
      </c>
    </row>
    <row r="74" spans="1:8" ht="72">
      <c r="A74" s="153" t="s">
        <v>1065</v>
      </c>
      <c r="B74" s="147" t="s">
        <v>1145</v>
      </c>
      <c r="C74" s="147" t="s">
        <v>936</v>
      </c>
      <c r="D74" s="147" t="s">
        <v>942</v>
      </c>
      <c r="E74" s="147" t="s">
        <v>960</v>
      </c>
      <c r="F74" s="155">
        <f>F75</f>
        <v>3626</v>
      </c>
      <c r="G74" s="155"/>
      <c r="H74" s="155">
        <f>H75</f>
        <v>3626</v>
      </c>
    </row>
    <row r="75" spans="1:8" ht="24">
      <c r="A75" s="153" t="s">
        <v>515</v>
      </c>
      <c r="B75" s="147" t="s">
        <v>1145</v>
      </c>
      <c r="C75" s="147" t="s">
        <v>936</v>
      </c>
      <c r="D75" s="147" t="s">
        <v>942</v>
      </c>
      <c r="E75" s="147" t="s">
        <v>115</v>
      </c>
      <c r="F75" s="158">
        <f>727.4+2408.6+490</f>
        <v>3626</v>
      </c>
      <c r="G75" s="155"/>
      <c r="H75" s="155">
        <f>F75</f>
        <v>3626</v>
      </c>
    </row>
    <row r="76" spans="1:8" ht="24">
      <c r="A76" s="153" t="s">
        <v>1066</v>
      </c>
      <c r="B76" s="147" t="s">
        <v>1145</v>
      </c>
      <c r="C76" s="147" t="s">
        <v>936</v>
      </c>
      <c r="D76" s="147" t="s">
        <v>942</v>
      </c>
      <c r="E76" s="147" t="s">
        <v>529</v>
      </c>
      <c r="F76" s="155">
        <f>F77</f>
        <v>0</v>
      </c>
      <c r="G76" s="155"/>
      <c r="H76" s="158">
        <f>H77</f>
        <v>0</v>
      </c>
    </row>
    <row r="77" spans="1:8" ht="24">
      <c r="A77" s="153" t="s">
        <v>591</v>
      </c>
      <c r="B77" s="147" t="s">
        <v>1145</v>
      </c>
      <c r="C77" s="147" t="s">
        <v>936</v>
      </c>
      <c r="D77" s="147" t="s">
        <v>942</v>
      </c>
      <c r="E77" s="147" t="s">
        <v>429</v>
      </c>
      <c r="F77" s="158">
        <v>0</v>
      </c>
      <c r="G77" s="155"/>
      <c r="H77" s="155">
        <f>F77</f>
        <v>0</v>
      </c>
    </row>
    <row r="78" spans="1:8" ht="48">
      <c r="A78" s="153" t="s">
        <v>943</v>
      </c>
      <c r="B78" s="147" t="s">
        <v>1145</v>
      </c>
      <c r="C78" s="147" t="s">
        <v>936</v>
      </c>
      <c r="D78" s="147" t="s">
        <v>944</v>
      </c>
      <c r="E78" s="147"/>
      <c r="F78" s="155">
        <f>F79+F81</f>
        <v>5662</v>
      </c>
      <c r="G78" s="155"/>
      <c r="H78" s="155">
        <f>H80+H82</f>
        <v>5662</v>
      </c>
    </row>
    <row r="79" spans="1:8" ht="69" customHeight="1">
      <c r="A79" s="153" t="s">
        <v>1065</v>
      </c>
      <c r="B79" s="147" t="s">
        <v>1145</v>
      </c>
      <c r="C79" s="147" t="s">
        <v>936</v>
      </c>
      <c r="D79" s="147" t="s">
        <v>944</v>
      </c>
      <c r="E79" s="147" t="s">
        <v>960</v>
      </c>
      <c r="F79" s="155">
        <f>F80</f>
        <v>5079.4</v>
      </c>
      <c r="G79" s="155"/>
      <c r="H79" s="155">
        <f>H80</f>
        <v>5079.4</v>
      </c>
    </row>
    <row r="80" spans="1:8" ht="24">
      <c r="A80" s="153" t="s">
        <v>515</v>
      </c>
      <c r="B80" s="147" t="s">
        <v>1145</v>
      </c>
      <c r="C80" s="147" t="s">
        <v>936</v>
      </c>
      <c r="D80" s="147" t="s">
        <v>944</v>
      </c>
      <c r="E80" s="147" t="s">
        <v>115</v>
      </c>
      <c r="F80" s="158">
        <f>3901.2+1178.2</f>
        <v>5079.4</v>
      </c>
      <c r="G80" s="155"/>
      <c r="H80" s="155">
        <f>F80</f>
        <v>5079.4</v>
      </c>
    </row>
    <row r="81" spans="1:8" ht="24">
      <c r="A81" s="153" t="s">
        <v>1066</v>
      </c>
      <c r="B81" s="147" t="s">
        <v>1145</v>
      </c>
      <c r="C81" s="147" t="s">
        <v>936</v>
      </c>
      <c r="D81" s="147" t="s">
        <v>944</v>
      </c>
      <c r="E81" s="147" t="s">
        <v>529</v>
      </c>
      <c r="F81" s="155">
        <f>F82</f>
        <v>582.6</v>
      </c>
      <c r="G81" s="155"/>
      <c r="H81" s="155">
        <f>H82</f>
        <v>582.6</v>
      </c>
    </row>
    <row r="82" spans="1:8" ht="24">
      <c r="A82" s="153" t="s">
        <v>591</v>
      </c>
      <c r="B82" s="147" t="s">
        <v>1145</v>
      </c>
      <c r="C82" s="147" t="s">
        <v>936</v>
      </c>
      <c r="D82" s="147" t="s">
        <v>944</v>
      </c>
      <c r="E82" s="147" t="s">
        <v>429</v>
      </c>
      <c r="F82" s="158">
        <v>582.6</v>
      </c>
      <c r="G82" s="155"/>
      <c r="H82" s="155">
        <f>F82</f>
        <v>582.6</v>
      </c>
    </row>
    <row r="83" spans="1:8" ht="24">
      <c r="A83" s="152" t="s">
        <v>1272</v>
      </c>
      <c r="B83" s="147" t="s">
        <v>1145</v>
      </c>
      <c r="C83" s="147" t="s">
        <v>936</v>
      </c>
      <c r="D83" s="147" t="s">
        <v>128</v>
      </c>
      <c r="E83" s="147"/>
      <c r="F83" s="155">
        <f>F85</f>
        <v>3441</v>
      </c>
      <c r="G83" s="155"/>
      <c r="H83" s="155">
        <f>H85</f>
        <v>3441</v>
      </c>
    </row>
    <row r="84" spans="1:8" ht="36" customHeight="1">
      <c r="A84" s="152" t="s">
        <v>131</v>
      </c>
      <c r="B84" s="147" t="s">
        <v>1145</v>
      </c>
      <c r="C84" s="147" t="s">
        <v>936</v>
      </c>
      <c r="D84" s="147" t="s">
        <v>132</v>
      </c>
      <c r="E84" s="147"/>
      <c r="F84" s="155">
        <f>F85</f>
        <v>3441</v>
      </c>
      <c r="G84" s="155"/>
      <c r="H84" s="155">
        <f>H85</f>
        <v>3441</v>
      </c>
    </row>
    <row r="85" spans="1:8" ht="79.5" customHeight="1">
      <c r="A85" s="152" t="s">
        <v>127</v>
      </c>
      <c r="B85" s="147" t="s">
        <v>1145</v>
      </c>
      <c r="C85" s="147" t="s">
        <v>936</v>
      </c>
      <c r="D85" s="147" t="s">
        <v>129</v>
      </c>
      <c r="E85" s="147"/>
      <c r="F85" s="155">
        <f>F86+F88</f>
        <v>3441</v>
      </c>
      <c r="G85" s="155"/>
      <c r="H85" s="155">
        <f>H86+H88</f>
        <v>3441</v>
      </c>
    </row>
    <row r="86" spans="1:8" ht="72">
      <c r="A86" s="153" t="s">
        <v>1065</v>
      </c>
      <c r="B86" s="147" t="s">
        <v>1145</v>
      </c>
      <c r="C86" s="147" t="s">
        <v>936</v>
      </c>
      <c r="D86" s="147" t="s">
        <v>129</v>
      </c>
      <c r="E86" s="147" t="s">
        <v>960</v>
      </c>
      <c r="F86" s="155">
        <f>F87</f>
        <v>3441</v>
      </c>
      <c r="G86" s="155"/>
      <c r="H86" s="155">
        <f>H87</f>
        <v>3441</v>
      </c>
    </row>
    <row r="87" spans="1:8" ht="24">
      <c r="A87" s="153" t="s">
        <v>515</v>
      </c>
      <c r="B87" s="147" t="s">
        <v>1145</v>
      </c>
      <c r="C87" s="147" t="s">
        <v>936</v>
      </c>
      <c r="D87" s="147" t="s">
        <v>129</v>
      </c>
      <c r="E87" s="147" t="s">
        <v>115</v>
      </c>
      <c r="F87" s="158">
        <f>2821+475.9+144.1</f>
        <v>3441</v>
      </c>
      <c r="G87" s="155"/>
      <c r="H87" s="155">
        <f>F87</f>
        <v>3441</v>
      </c>
    </row>
    <row r="88" spans="1:8" ht="24">
      <c r="A88" s="153" t="s">
        <v>1066</v>
      </c>
      <c r="B88" s="147" t="s">
        <v>1145</v>
      </c>
      <c r="C88" s="147" t="s">
        <v>936</v>
      </c>
      <c r="D88" s="147" t="s">
        <v>129</v>
      </c>
      <c r="E88" s="147" t="s">
        <v>529</v>
      </c>
      <c r="F88" s="155">
        <f>F89</f>
        <v>0</v>
      </c>
      <c r="G88" s="155"/>
      <c r="H88" s="155">
        <f>H89</f>
        <v>0</v>
      </c>
    </row>
    <row r="89" spans="1:8" ht="24">
      <c r="A89" s="157" t="s">
        <v>546</v>
      </c>
      <c r="B89" s="147" t="s">
        <v>1145</v>
      </c>
      <c r="C89" s="147" t="s">
        <v>936</v>
      </c>
      <c r="D89" s="147" t="s">
        <v>129</v>
      </c>
      <c r="E89" s="147" t="s">
        <v>429</v>
      </c>
      <c r="F89" s="158">
        <f>741.7-741.7</f>
        <v>0</v>
      </c>
      <c r="G89" s="155"/>
      <c r="H89" s="161">
        <f>F89</f>
        <v>0</v>
      </c>
    </row>
    <row r="90" spans="1:8" ht="84">
      <c r="A90" s="153" t="s">
        <v>445</v>
      </c>
      <c r="B90" s="147" t="s">
        <v>1145</v>
      </c>
      <c r="C90" s="147" t="s">
        <v>936</v>
      </c>
      <c r="D90" s="147" t="s">
        <v>734</v>
      </c>
      <c r="E90" s="147"/>
      <c r="F90" s="279">
        <f>F91</f>
        <v>4369</v>
      </c>
      <c r="G90" s="279"/>
      <c r="H90" s="279">
        <f>F90</f>
        <v>4369</v>
      </c>
    </row>
    <row r="91" spans="1:8" ht="72">
      <c r="A91" s="153" t="s">
        <v>1065</v>
      </c>
      <c r="B91" s="147" t="s">
        <v>1145</v>
      </c>
      <c r="C91" s="147" t="s">
        <v>936</v>
      </c>
      <c r="D91" s="147" t="s">
        <v>734</v>
      </c>
      <c r="E91" s="147" t="s">
        <v>960</v>
      </c>
      <c r="F91" s="279">
        <f>F92</f>
        <v>4369</v>
      </c>
      <c r="G91" s="279"/>
      <c r="H91" s="279">
        <f>F91</f>
        <v>4369</v>
      </c>
    </row>
    <row r="92" spans="1:8" ht="24">
      <c r="A92" s="153" t="s">
        <v>515</v>
      </c>
      <c r="B92" s="147" t="s">
        <v>1145</v>
      </c>
      <c r="C92" s="147" t="s">
        <v>936</v>
      </c>
      <c r="D92" s="147" t="s">
        <v>734</v>
      </c>
      <c r="E92" s="147" t="s">
        <v>115</v>
      </c>
      <c r="F92" s="158">
        <f>2684.3+810.7+874</f>
        <v>4369</v>
      </c>
      <c r="G92" s="155"/>
      <c r="H92" s="161">
        <f>F92</f>
        <v>4369</v>
      </c>
    </row>
    <row r="93" spans="1:8" ht="48">
      <c r="A93" s="156" t="s">
        <v>440</v>
      </c>
      <c r="B93" s="147" t="s">
        <v>1145</v>
      </c>
      <c r="C93" s="147" t="s">
        <v>431</v>
      </c>
      <c r="D93" s="147"/>
      <c r="E93" s="147"/>
      <c r="F93" s="155">
        <f>F100+F94</f>
        <v>28327.5</v>
      </c>
      <c r="G93" s="155">
        <f aca="true" t="shared" si="4" ref="G93:G114">F93-H93</f>
        <v>28327.5</v>
      </c>
      <c r="H93" s="155"/>
    </row>
    <row r="94" spans="1:8" ht="48">
      <c r="A94" s="152" t="s">
        <v>33</v>
      </c>
      <c r="B94" s="147" t="s">
        <v>443</v>
      </c>
      <c r="C94" s="147" t="s">
        <v>431</v>
      </c>
      <c r="D94" s="147" t="s">
        <v>136</v>
      </c>
      <c r="E94" s="147"/>
      <c r="F94" s="155">
        <f>F95</f>
        <v>5086.6</v>
      </c>
      <c r="G94" s="155">
        <f>G95</f>
        <v>5086.6</v>
      </c>
      <c r="H94" s="155"/>
    </row>
    <row r="95" spans="1:8" ht="24">
      <c r="A95" s="152" t="s">
        <v>1056</v>
      </c>
      <c r="B95" s="147" t="s">
        <v>443</v>
      </c>
      <c r="C95" s="147" t="s">
        <v>431</v>
      </c>
      <c r="D95" s="147" t="s">
        <v>587</v>
      </c>
      <c r="E95" s="147"/>
      <c r="F95" s="155">
        <f>F96+F98</f>
        <v>5086.6</v>
      </c>
      <c r="G95" s="155">
        <f>G96+G98</f>
        <v>5086.6</v>
      </c>
      <c r="H95" s="155"/>
    </row>
    <row r="96" spans="1:8" ht="72">
      <c r="A96" s="153" t="s">
        <v>1065</v>
      </c>
      <c r="B96" s="147" t="s">
        <v>1145</v>
      </c>
      <c r="C96" s="147" t="s">
        <v>431</v>
      </c>
      <c r="D96" s="147" t="s">
        <v>587</v>
      </c>
      <c r="E96" s="147" t="s">
        <v>960</v>
      </c>
      <c r="F96" s="155">
        <f>F97</f>
        <v>4943.1</v>
      </c>
      <c r="G96" s="155">
        <f>G97</f>
        <v>4943.1</v>
      </c>
      <c r="H96" s="155"/>
    </row>
    <row r="97" spans="1:8" ht="24">
      <c r="A97" s="153" t="s">
        <v>515</v>
      </c>
      <c r="B97" s="147" t="s">
        <v>1145</v>
      </c>
      <c r="C97" s="147" t="s">
        <v>431</v>
      </c>
      <c r="D97" s="147" t="s">
        <v>587</v>
      </c>
      <c r="E97" s="147" t="s">
        <v>115</v>
      </c>
      <c r="F97" s="158">
        <f>4941.1+2</f>
        <v>4943.1</v>
      </c>
      <c r="G97" s="158">
        <f>F97</f>
        <v>4943.1</v>
      </c>
      <c r="H97" s="155"/>
    </row>
    <row r="98" spans="1:8" ht="24">
      <c r="A98" s="153" t="s">
        <v>1066</v>
      </c>
      <c r="B98" s="147" t="s">
        <v>1145</v>
      </c>
      <c r="C98" s="147" t="s">
        <v>431</v>
      </c>
      <c r="D98" s="147" t="s">
        <v>587</v>
      </c>
      <c r="E98" s="147" t="s">
        <v>529</v>
      </c>
      <c r="F98" s="155">
        <f>F99</f>
        <v>143.5</v>
      </c>
      <c r="G98" s="155">
        <f>G99</f>
        <v>143.5</v>
      </c>
      <c r="H98" s="155"/>
    </row>
    <row r="99" spans="1:8" ht="24">
      <c r="A99" s="157" t="s">
        <v>546</v>
      </c>
      <c r="B99" s="147" t="s">
        <v>1145</v>
      </c>
      <c r="C99" s="147" t="s">
        <v>431</v>
      </c>
      <c r="D99" s="147" t="s">
        <v>587</v>
      </c>
      <c r="E99" s="147" t="s">
        <v>429</v>
      </c>
      <c r="F99" s="158">
        <f>80+63.5</f>
        <v>143.5</v>
      </c>
      <c r="G99" s="158">
        <f>103.5+40</f>
        <v>143.5</v>
      </c>
      <c r="H99" s="155"/>
    </row>
    <row r="100" spans="1:8" ht="24">
      <c r="A100" s="160" t="s">
        <v>1273</v>
      </c>
      <c r="B100" s="147" t="s">
        <v>1145</v>
      </c>
      <c r="C100" s="147" t="s">
        <v>431</v>
      </c>
      <c r="D100" s="147" t="s">
        <v>733</v>
      </c>
      <c r="E100" s="147"/>
      <c r="F100" s="155">
        <f>F101</f>
        <v>23240.9</v>
      </c>
      <c r="G100" s="155">
        <f t="shared" si="4"/>
        <v>23240.9</v>
      </c>
      <c r="H100" s="155"/>
    </row>
    <row r="101" spans="1:8" ht="48">
      <c r="A101" s="157" t="s">
        <v>1274</v>
      </c>
      <c r="B101" s="147" t="s">
        <v>1145</v>
      </c>
      <c r="C101" s="147" t="s">
        <v>431</v>
      </c>
      <c r="D101" s="147" t="s">
        <v>133</v>
      </c>
      <c r="E101" s="147"/>
      <c r="F101" s="155">
        <f>F102</f>
        <v>23240.9</v>
      </c>
      <c r="G101" s="155">
        <f t="shared" si="4"/>
        <v>23240.9</v>
      </c>
      <c r="H101" s="155"/>
    </row>
    <row r="102" spans="1:8" ht="36">
      <c r="A102" s="152" t="s">
        <v>726</v>
      </c>
      <c r="B102" s="147" t="s">
        <v>1145</v>
      </c>
      <c r="C102" s="147" t="s">
        <v>431</v>
      </c>
      <c r="D102" s="147" t="s">
        <v>134</v>
      </c>
      <c r="E102" s="147"/>
      <c r="F102" s="155">
        <f>F103</f>
        <v>23240.9</v>
      </c>
      <c r="G102" s="155">
        <f>G101</f>
        <v>23240.9</v>
      </c>
      <c r="H102" s="155"/>
    </row>
    <row r="103" spans="1:8" ht="24">
      <c r="A103" s="152" t="s">
        <v>191</v>
      </c>
      <c r="B103" s="147" t="s">
        <v>1145</v>
      </c>
      <c r="C103" s="147" t="s">
        <v>431</v>
      </c>
      <c r="D103" s="147" t="s">
        <v>135</v>
      </c>
      <c r="E103" s="147"/>
      <c r="F103" s="155">
        <f>F104+F106</f>
        <v>23240.9</v>
      </c>
      <c r="G103" s="155">
        <f>G102</f>
        <v>23240.9</v>
      </c>
      <c r="H103" s="155"/>
    </row>
    <row r="104" spans="1:8" ht="72">
      <c r="A104" s="153" t="s">
        <v>1065</v>
      </c>
      <c r="B104" s="147" t="s">
        <v>1145</v>
      </c>
      <c r="C104" s="147" t="s">
        <v>431</v>
      </c>
      <c r="D104" s="147" t="s">
        <v>135</v>
      </c>
      <c r="E104" s="147" t="s">
        <v>960</v>
      </c>
      <c r="F104" s="155">
        <f>F105</f>
        <v>22952.9</v>
      </c>
      <c r="G104" s="155">
        <f t="shared" si="4"/>
        <v>22952.9</v>
      </c>
      <c r="H104" s="155"/>
    </row>
    <row r="105" spans="1:8" ht="24">
      <c r="A105" s="153" t="s">
        <v>515</v>
      </c>
      <c r="B105" s="147" t="s">
        <v>1145</v>
      </c>
      <c r="C105" s="147" t="s">
        <v>431</v>
      </c>
      <c r="D105" s="147" t="s">
        <v>135</v>
      </c>
      <c r="E105" s="147" t="s">
        <v>115</v>
      </c>
      <c r="F105" s="158">
        <f>20867.9+1613+487-15</f>
        <v>22952.9</v>
      </c>
      <c r="G105" s="155">
        <f t="shared" si="4"/>
        <v>22952.9</v>
      </c>
      <c r="H105" s="155"/>
    </row>
    <row r="106" spans="1:8" ht="24">
      <c r="A106" s="153" t="s">
        <v>1066</v>
      </c>
      <c r="B106" s="147" t="s">
        <v>1145</v>
      </c>
      <c r="C106" s="147" t="s">
        <v>431</v>
      </c>
      <c r="D106" s="147" t="s">
        <v>135</v>
      </c>
      <c r="E106" s="147" t="s">
        <v>529</v>
      </c>
      <c r="F106" s="158">
        <f>F107</f>
        <v>288</v>
      </c>
      <c r="G106" s="155">
        <f t="shared" si="4"/>
        <v>288</v>
      </c>
      <c r="H106" s="158"/>
    </row>
    <row r="107" spans="1:8" ht="24">
      <c r="A107" s="153" t="s">
        <v>591</v>
      </c>
      <c r="B107" s="147" t="s">
        <v>1145</v>
      </c>
      <c r="C107" s="147" t="s">
        <v>431</v>
      </c>
      <c r="D107" s="147" t="s">
        <v>135</v>
      </c>
      <c r="E107" s="147" t="s">
        <v>429</v>
      </c>
      <c r="F107" s="158">
        <f>351-78+15</f>
        <v>288</v>
      </c>
      <c r="G107" s="155">
        <f t="shared" si="4"/>
        <v>288</v>
      </c>
      <c r="H107" s="158"/>
    </row>
    <row r="108" spans="1:8" ht="24">
      <c r="A108" s="162" t="s">
        <v>716</v>
      </c>
      <c r="B108" s="147" t="s">
        <v>1145</v>
      </c>
      <c r="C108" s="147" t="s">
        <v>434</v>
      </c>
      <c r="D108" s="147"/>
      <c r="E108" s="147"/>
      <c r="F108" s="155">
        <f>F109</f>
        <v>6650</v>
      </c>
      <c r="G108" s="155">
        <f t="shared" si="4"/>
        <v>6650</v>
      </c>
      <c r="H108" s="155"/>
    </row>
    <row r="109" spans="1:8" ht="24">
      <c r="A109" s="160" t="s">
        <v>1268</v>
      </c>
      <c r="B109" s="147" t="s">
        <v>1145</v>
      </c>
      <c r="C109" s="147" t="s">
        <v>434</v>
      </c>
      <c r="D109" s="147" t="s">
        <v>733</v>
      </c>
      <c r="E109" s="147"/>
      <c r="F109" s="155">
        <f>F110</f>
        <v>6650</v>
      </c>
      <c r="G109" s="155">
        <f t="shared" si="4"/>
        <v>6650</v>
      </c>
      <c r="H109" s="155"/>
    </row>
    <row r="110" spans="1:8" ht="36">
      <c r="A110" s="152" t="s">
        <v>1271</v>
      </c>
      <c r="B110" s="147" t="s">
        <v>1145</v>
      </c>
      <c r="C110" s="147" t="s">
        <v>434</v>
      </c>
      <c r="D110" s="147" t="s">
        <v>240</v>
      </c>
      <c r="E110" s="147"/>
      <c r="F110" s="155">
        <f>F112</f>
        <v>6650</v>
      </c>
      <c r="G110" s="155">
        <f t="shared" si="4"/>
        <v>6650</v>
      </c>
      <c r="H110" s="155"/>
    </row>
    <row r="111" spans="1:8" ht="24">
      <c r="A111" s="152" t="s">
        <v>1275</v>
      </c>
      <c r="B111" s="147" t="s">
        <v>1145</v>
      </c>
      <c r="C111" s="147" t="s">
        <v>434</v>
      </c>
      <c r="D111" s="147" t="s">
        <v>1507</v>
      </c>
      <c r="E111" s="147"/>
      <c r="F111" s="155"/>
      <c r="G111" s="155"/>
      <c r="H111" s="155"/>
    </row>
    <row r="112" spans="1:8" ht="24">
      <c r="A112" s="157" t="s">
        <v>400</v>
      </c>
      <c r="B112" s="147" t="s">
        <v>1145</v>
      </c>
      <c r="C112" s="147" t="s">
        <v>434</v>
      </c>
      <c r="D112" s="147" t="s">
        <v>1508</v>
      </c>
      <c r="E112" s="147"/>
      <c r="F112" s="155">
        <f>F113</f>
        <v>6650</v>
      </c>
      <c r="G112" s="155">
        <f t="shared" si="4"/>
        <v>6650</v>
      </c>
      <c r="H112" s="155"/>
    </row>
    <row r="113" spans="1:8" ht="24">
      <c r="A113" s="153" t="s">
        <v>985</v>
      </c>
      <c r="B113" s="147" t="s">
        <v>1145</v>
      </c>
      <c r="C113" s="147" t="s">
        <v>434</v>
      </c>
      <c r="D113" s="147" t="s">
        <v>1508</v>
      </c>
      <c r="E113" s="147" t="s">
        <v>986</v>
      </c>
      <c r="F113" s="155">
        <f>F114</f>
        <v>6650</v>
      </c>
      <c r="G113" s="155">
        <f t="shared" si="4"/>
        <v>6650</v>
      </c>
      <c r="H113" s="155"/>
    </row>
    <row r="114" spans="1:8" ht="24">
      <c r="A114" s="152" t="s">
        <v>987</v>
      </c>
      <c r="B114" s="147" t="s">
        <v>1145</v>
      </c>
      <c r="C114" s="147" t="s">
        <v>434</v>
      </c>
      <c r="D114" s="147" t="s">
        <v>1508</v>
      </c>
      <c r="E114" s="147" t="s">
        <v>988</v>
      </c>
      <c r="F114" s="158">
        <f>6500-300+450</f>
        <v>6650</v>
      </c>
      <c r="G114" s="155">
        <f t="shared" si="4"/>
        <v>6650</v>
      </c>
      <c r="H114" s="158"/>
    </row>
    <row r="115" spans="1:8" ht="15">
      <c r="A115" s="162" t="s">
        <v>347</v>
      </c>
      <c r="B115" s="147" t="s">
        <v>1145</v>
      </c>
      <c r="C115" s="147" t="s">
        <v>567</v>
      </c>
      <c r="D115" s="163"/>
      <c r="E115" s="147"/>
      <c r="F115" s="155">
        <f>F116+F122</f>
        <v>5310</v>
      </c>
      <c r="G115" s="155">
        <f>G116+G122</f>
        <v>5310</v>
      </c>
      <c r="H115" s="155"/>
    </row>
    <row r="116" spans="1:8" ht="36">
      <c r="A116" s="160" t="s">
        <v>1276</v>
      </c>
      <c r="B116" s="147" t="s">
        <v>1145</v>
      </c>
      <c r="C116" s="147" t="s">
        <v>567</v>
      </c>
      <c r="D116" s="253" t="s">
        <v>193</v>
      </c>
      <c r="E116" s="150"/>
      <c r="F116" s="155">
        <f aca="true" t="shared" si="5" ref="F116:G120">F117</f>
        <v>1900</v>
      </c>
      <c r="G116" s="155">
        <f t="shared" si="5"/>
        <v>1900</v>
      </c>
      <c r="H116" s="155"/>
    </row>
    <row r="117" spans="1:8" ht="60">
      <c r="A117" s="152" t="s">
        <v>1277</v>
      </c>
      <c r="B117" s="147" t="s">
        <v>1145</v>
      </c>
      <c r="C117" s="147" t="s">
        <v>567</v>
      </c>
      <c r="D117" s="216" t="s">
        <v>194</v>
      </c>
      <c r="E117" s="150"/>
      <c r="F117" s="155">
        <f t="shared" si="5"/>
        <v>1900</v>
      </c>
      <c r="G117" s="155">
        <f t="shared" si="5"/>
        <v>1900</v>
      </c>
      <c r="H117" s="155"/>
    </row>
    <row r="118" spans="1:8" ht="72">
      <c r="A118" s="152" t="s">
        <v>192</v>
      </c>
      <c r="B118" s="147" t="s">
        <v>1145</v>
      </c>
      <c r="C118" s="147" t="s">
        <v>567</v>
      </c>
      <c r="D118" s="216" t="s">
        <v>195</v>
      </c>
      <c r="E118" s="150"/>
      <c r="F118" s="155">
        <f t="shared" si="5"/>
        <v>1900</v>
      </c>
      <c r="G118" s="155">
        <f t="shared" si="5"/>
        <v>1900</v>
      </c>
      <c r="H118" s="155"/>
    </row>
    <row r="119" spans="1:8" ht="48">
      <c r="A119" s="152" t="s">
        <v>196</v>
      </c>
      <c r="B119" s="147" t="s">
        <v>1145</v>
      </c>
      <c r="C119" s="147" t="s">
        <v>567</v>
      </c>
      <c r="D119" s="216" t="s">
        <v>197</v>
      </c>
      <c r="E119" s="150"/>
      <c r="F119" s="155">
        <f t="shared" si="5"/>
        <v>1900</v>
      </c>
      <c r="G119" s="155">
        <f t="shared" si="5"/>
        <v>1900</v>
      </c>
      <c r="H119" s="155"/>
    </row>
    <row r="120" spans="1:8" ht="15">
      <c r="A120" s="153" t="s">
        <v>985</v>
      </c>
      <c r="B120" s="147" t="s">
        <v>1145</v>
      </c>
      <c r="C120" s="147" t="s">
        <v>567</v>
      </c>
      <c r="D120" s="216" t="s">
        <v>197</v>
      </c>
      <c r="E120" s="150" t="s">
        <v>986</v>
      </c>
      <c r="F120" s="155">
        <f t="shared" si="5"/>
        <v>1900</v>
      </c>
      <c r="G120" s="155">
        <f t="shared" si="5"/>
        <v>1900</v>
      </c>
      <c r="H120" s="155"/>
    </row>
    <row r="121" spans="1:8" ht="15">
      <c r="A121" s="157" t="s">
        <v>929</v>
      </c>
      <c r="B121" s="147" t="s">
        <v>1145</v>
      </c>
      <c r="C121" s="147" t="s">
        <v>567</v>
      </c>
      <c r="D121" s="216" t="s">
        <v>197</v>
      </c>
      <c r="E121" s="150" t="s">
        <v>930</v>
      </c>
      <c r="F121" s="158">
        <f>1000+1000-100</f>
        <v>1900</v>
      </c>
      <c r="G121" s="158">
        <f>F121-H121</f>
        <v>1900</v>
      </c>
      <c r="H121" s="155"/>
    </row>
    <row r="122" spans="1:8" ht="24">
      <c r="A122" s="160" t="s">
        <v>1273</v>
      </c>
      <c r="B122" s="147" t="s">
        <v>443</v>
      </c>
      <c r="C122" s="147" t="s">
        <v>567</v>
      </c>
      <c r="D122" s="216" t="s">
        <v>733</v>
      </c>
      <c r="E122" s="147"/>
      <c r="F122" s="155">
        <f>F123</f>
        <v>3410</v>
      </c>
      <c r="G122" s="155">
        <f>G123</f>
        <v>3410</v>
      </c>
      <c r="H122" s="155"/>
    </row>
    <row r="123" spans="1:8" ht="36">
      <c r="A123" s="152" t="s">
        <v>1278</v>
      </c>
      <c r="B123" s="147" t="s">
        <v>1145</v>
      </c>
      <c r="C123" s="147" t="s">
        <v>567</v>
      </c>
      <c r="D123" s="216" t="s">
        <v>948</v>
      </c>
      <c r="E123" s="147"/>
      <c r="F123" s="155">
        <f>F124</f>
        <v>3410</v>
      </c>
      <c r="G123" s="155">
        <f>G124</f>
        <v>3410</v>
      </c>
      <c r="H123" s="155"/>
    </row>
    <row r="124" spans="1:8" ht="24">
      <c r="A124" s="152" t="s">
        <v>949</v>
      </c>
      <c r="B124" s="147" t="s">
        <v>1145</v>
      </c>
      <c r="C124" s="147" t="s">
        <v>567</v>
      </c>
      <c r="D124" s="147" t="s">
        <v>945</v>
      </c>
      <c r="E124" s="147"/>
      <c r="F124" s="155">
        <f>F125</f>
        <v>3410</v>
      </c>
      <c r="G124" s="155">
        <f aca="true" t="shared" si="6" ref="G124:G130">F124-H124</f>
        <v>3410</v>
      </c>
      <c r="H124" s="155"/>
    </row>
    <row r="125" spans="1:8" ht="24">
      <c r="A125" s="157" t="s">
        <v>947</v>
      </c>
      <c r="B125" s="147" t="s">
        <v>1145</v>
      </c>
      <c r="C125" s="147" t="s">
        <v>567</v>
      </c>
      <c r="D125" s="147" t="s">
        <v>946</v>
      </c>
      <c r="E125" s="147"/>
      <c r="F125" s="155">
        <f>F126</f>
        <v>3410</v>
      </c>
      <c r="G125" s="155">
        <f t="shared" si="6"/>
        <v>3410</v>
      </c>
      <c r="H125" s="155"/>
    </row>
    <row r="126" spans="1:8" ht="24">
      <c r="A126" s="153" t="s">
        <v>985</v>
      </c>
      <c r="B126" s="147" t="s">
        <v>1145</v>
      </c>
      <c r="C126" s="147" t="s">
        <v>567</v>
      </c>
      <c r="D126" s="147" t="s">
        <v>946</v>
      </c>
      <c r="E126" s="147" t="s">
        <v>986</v>
      </c>
      <c r="F126" s="155">
        <f>F127</f>
        <v>3410</v>
      </c>
      <c r="G126" s="155">
        <f t="shared" si="6"/>
        <v>3410</v>
      </c>
      <c r="H126" s="155"/>
    </row>
    <row r="127" spans="1:8" ht="24">
      <c r="A127" s="157" t="s">
        <v>929</v>
      </c>
      <c r="B127" s="147" t="s">
        <v>1145</v>
      </c>
      <c r="C127" s="147" t="s">
        <v>567</v>
      </c>
      <c r="D127" s="147" t="s">
        <v>946</v>
      </c>
      <c r="E127" s="147" t="s">
        <v>930</v>
      </c>
      <c r="F127" s="158">
        <f>5000-780-30-210-60-60-450</f>
        <v>3410</v>
      </c>
      <c r="G127" s="155">
        <f t="shared" si="6"/>
        <v>3410</v>
      </c>
      <c r="H127" s="158"/>
    </row>
    <row r="128" spans="1:8" ht="15">
      <c r="A128" s="156" t="s">
        <v>30</v>
      </c>
      <c r="B128" s="147" t="s">
        <v>1145</v>
      </c>
      <c r="C128" s="147" t="s">
        <v>900</v>
      </c>
      <c r="D128" s="147"/>
      <c r="E128" s="147"/>
      <c r="F128" s="155">
        <f>F129+F135+F247+F261</f>
        <v>609636.3</v>
      </c>
      <c r="G128" s="155">
        <f>G129+G135+G247+G261</f>
        <v>599150.3</v>
      </c>
      <c r="H128" s="155">
        <f>H129+H135+H247+H261</f>
        <v>10486</v>
      </c>
    </row>
    <row r="129" spans="1:8" ht="36">
      <c r="A129" s="164" t="s">
        <v>1279</v>
      </c>
      <c r="B129" s="147" t="s">
        <v>1145</v>
      </c>
      <c r="C129" s="147" t="s">
        <v>900</v>
      </c>
      <c r="D129" s="147" t="s">
        <v>137</v>
      </c>
      <c r="E129" s="147"/>
      <c r="F129" s="155">
        <f>F130</f>
        <v>2691.3</v>
      </c>
      <c r="G129" s="155">
        <f t="shared" si="6"/>
        <v>2691.3</v>
      </c>
      <c r="H129" s="155"/>
    </row>
    <row r="130" spans="1:8" ht="36">
      <c r="A130" s="152" t="s">
        <v>1280</v>
      </c>
      <c r="B130" s="147" t="s">
        <v>1145</v>
      </c>
      <c r="C130" s="147" t="s">
        <v>900</v>
      </c>
      <c r="D130" s="147" t="s">
        <v>138</v>
      </c>
      <c r="E130" s="147"/>
      <c r="F130" s="155">
        <f>F133</f>
        <v>2691.3</v>
      </c>
      <c r="G130" s="155">
        <f t="shared" si="6"/>
        <v>2691.3</v>
      </c>
      <c r="H130" s="155"/>
    </row>
    <row r="131" spans="1:8" ht="48">
      <c r="A131" s="152" t="s">
        <v>1491</v>
      </c>
      <c r="B131" s="147" t="s">
        <v>1145</v>
      </c>
      <c r="C131" s="147" t="s">
        <v>900</v>
      </c>
      <c r="D131" s="147" t="s">
        <v>139</v>
      </c>
      <c r="E131" s="147"/>
      <c r="F131" s="155">
        <f>F132</f>
        <v>2691.3</v>
      </c>
      <c r="G131" s="155">
        <f>G132</f>
        <v>2691.3</v>
      </c>
      <c r="H131" s="155"/>
    </row>
    <row r="132" spans="1:8" ht="24">
      <c r="A132" s="152" t="s">
        <v>141</v>
      </c>
      <c r="B132" s="147" t="s">
        <v>1145</v>
      </c>
      <c r="C132" s="147" t="s">
        <v>900</v>
      </c>
      <c r="D132" s="147" t="s">
        <v>140</v>
      </c>
      <c r="E132" s="147"/>
      <c r="F132" s="155">
        <f>F133</f>
        <v>2691.3</v>
      </c>
      <c r="G132" s="155">
        <f>G133</f>
        <v>2691.3</v>
      </c>
      <c r="H132" s="155"/>
    </row>
    <row r="133" spans="1:8" ht="24">
      <c r="A133" s="157" t="s">
        <v>985</v>
      </c>
      <c r="B133" s="147" t="s">
        <v>1145</v>
      </c>
      <c r="C133" s="147" t="s">
        <v>900</v>
      </c>
      <c r="D133" s="147" t="s">
        <v>140</v>
      </c>
      <c r="E133" s="147" t="s">
        <v>986</v>
      </c>
      <c r="F133" s="155">
        <f>F134</f>
        <v>2691.3</v>
      </c>
      <c r="G133" s="155">
        <f>F133-H133</f>
        <v>2691.3</v>
      </c>
      <c r="H133" s="155"/>
    </row>
    <row r="134" spans="1:8" ht="60">
      <c r="A134" s="152" t="s">
        <v>163</v>
      </c>
      <c r="B134" s="147" t="s">
        <v>1145</v>
      </c>
      <c r="C134" s="147" t="s">
        <v>900</v>
      </c>
      <c r="D134" s="147" t="s">
        <v>140</v>
      </c>
      <c r="E134" s="147" t="s">
        <v>556</v>
      </c>
      <c r="F134" s="158">
        <f>2562+21.5+107.8</f>
        <v>2691.3</v>
      </c>
      <c r="G134" s="155">
        <f>F134-H134</f>
        <v>2691.3</v>
      </c>
      <c r="H134" s="155"/>
    </row>
    <row r="135" spans="1:8" ht="24">
      <c r="A135" s="160" t="s">
        <v>1268</v>
      </c>
      <c r="B135" s="147" t="s">
        <v>1145</v>
      </c>
      <c r="C135" s="147" t="s">
        <v>900</v>
      </c>
      <c r="D135" s="147" t="s">
        <v>733</v>
      </c>
      <c r="E135" s="147"/>
      <c r="F135" s="155">
        <f>F136+F147+F164+F174+F184+F192+F220+F229+F238</f>
        <v>606545</v>
      </c>
      <c r="G135" s="155">
        <f>F135-H135</f>
        <v>596059</v>
      </c>
      <c r="H135" s="155">
        <f>H136+H147+H164+H174+H183+H192</f>
        <v>10486</v>
      </c>
    </row>
    <row r="136" spans="1:8" ht="84">
      <c r="A136" s="159" t="s">
        <v>1635</v>
      </c>
      <c r="B136" s="147" t="s">
        <v>1145</v>
      </c>
      <c r="C136" s="147" t="s">
        <v>900</v>
      </c>
      <c r="D136" s="147" t="s">
        <v>144</v>
      </c>
      <c r="E136" s="147"/>
      <c r="F136" s="155">
        <f aca="true" t="shared" si="7" ref="F136:G138">F137</f>
        <v>106627.2</v>
      </c>
      <c r="G136" s="155">
        <f t="shared" si="7"/>
        <v>106627.2</v>
      </c>
      <c r="H136" s="155">
        <f>H138</f>
        <v>0</v>
      </c>
    </row>
    <row r="137" spans="1:8" ht="23.25" customHeight="1">
      <c r="A137" s="159" t="s">
        <v>142</v>
      </c>
      <c r="B137" s="147" t="s">
        <v>1145</v>
      </c>
      <c r="C137" s="147" t="s">
        <v>900</v>
      </c>
      <c r="D137" s="147" t="s">
        <v>610</v>
      </c>
      <c r="E137" s="147"/>
      <c r="F137" s="155">
        <f t="shared" si="7"/>
        <v>106627.2</v>
      </c>
      <c r="G137" s="155">
        <f t="shared" si="7"/>
        <v>106627.2</v>
      </c>
      <c r="H137" s="155"/>
    </row>
    <row r="138" spans="1:8" ht="36">
      <c r="A138" s="152" t="s">
        <v>490</v>
      </c>
      <c r="B138" s="147" t="s">
        <v>1145</v>
      </c>
      <c r="C138" s="147" t="s">
        <v>900</v>
      </c>
      <c r="D138" s="147" t="s">
        <v>611</v>
      </c>
      <c r="E138" s="147" t="s">
        <v>489</v>
      </c>
      <c r="F138" s="155">
        <f t="shared" si="7"/>
        <v>106627.2</v>
      </c>
      <c r="G138" s="155">
        <f t="shared" si="7"/>
        <v>106627.2</v>
      </c>
      <c r="H138" s="155"/>
    </row>
    <row r="139" spans="1:8" ht="24">
      <c r="A139" s="157" t="s">
        <v>491</v>
      </c>
      <c r="B139" s="147" t="s">
        <v>1145</v>
      </c>
      <c r="C139" s="147" t="s">
        <v>900</v>
      </c>
      <c r="D139" s="147" t="s">
        <v>611</v>
      </c>
      <c r="E139" s="147" t="s">
        <v>574</v>
      </c>
      <c r="F139" s="158">
        <f>84000+200+F140+F141+F142+F143+F144+F145+F146</f>
        <v>106627.2</v>
      </c>
      <c r="G139" s="158">
        <f aca="true" t="shared" si="8" ref="G139:G144">F139</f>
        <v>106627.2</v>
      </c>
      <c r="H139" s="158"/>
    </row>
    <row r="140" spans="1:8" ht="24">
      <c r="A140" s="157" t="s">
        <v>1535</v>
      </c>
      <c r="B140" s="147" t="s">
        <v>1145</v>
      </c>
      <c r="C140" s="147" t="s">
        <v>900</v>
      </c>
      <c r="D140" s="147" t="s">
        <v>611</v>
      </c>
      <c r="E140" s="147" t="s">
        <v>574</v>
      </c>
      <c r="F140" s="158">
        <v>1000</v>
      </c>
      <c r="G140" s="158">
        <f t="shared" si="8"/>
        <v>1000</v>
      </c>
      <c r="H140" s="158"/>
    </row>
    <row r="141" spans="1:8" ht="48">
      <c r="A141" s="157" t="s">
        <v>1536</v>
      </c>
      <c r="B141" s="147" t="s">
        <v>1145</v>
      </c>
      <c r="C141" s="147" t="s">
        <v>900</v>
      </c>
      <c r="D141" s="147" t="s">
        <v>611</v>
      </c>
      <c r="E141" s="147" t="s">
        <v>574</v>
      </c>
      <c r="F141" s="158">
        <v>1450</v>
      </c>
      <c r="G141" s="158">
        <f t="shared" si="8"/>
        <v>1450</v>
      </c>
      <c r="H141" s="158"/>
    </row>
    <row r="142" spans="1:8" ht="36">
      <c r="A142" s="157" t="s">
        <v>1587</v>
      </c>
      <c r="B142" s="147" t="s">
        <v>1145</v>
      </c>
      <c r="C142" s="147" t="s">
        <v>900</v>
      </c>
      <c r="D142" s="147" t="s">
        <v>611</v>
      </c>
      <c r="E142" s="147" t="s">
        <v>574</v>
      </c>
      <c r="F142" s="158">
        <v>355.7</v>
      </c>
      <c r="G142" s="158">
        <f t="shared" si="8"/>
        <v>355.7</v>
      </c>
      <c r="H142" s="158"/>
    </row>
    <row r="143" spans="1:8" ht="24">
      <c r="A143" s="157" t="s">
        <v>1588</v>
      </c>
      <c r="B143" s="147" t="s">
        <v>1145</v>
      </c>
      <c r="C143" s="147" t="s">
        <v>900</v>
      </c>
      <c r="D143" s="147" t="s">
        <v>611</v>
      </c>
      <c r="E143" s="147" t="s">
        <v>574</v>
      </c>
      <c r="F143" s="158">
        <v>87.2</v>
      </c>
      <c r="G143" s="158">
        <f t="shared" si="8"/>
        <v>87.2</v>
      </c>
      <c r="H143" s="158"/>
    </row>
    <row r="144" spans="1:8" ht="36">
      <c r="A144" s="157" t="s">
        <v>1636</v>
      </c>
      <c r="B144" s="147" t="s">
        <v>1145</v>
      </c>
      <c r="C144" s="147" t="s">
        <v>900</v>
      </c>
      <c r="D144" s="147" t="s">
        <v>611</v>
      </c>
      <c r="E144" s="147" t="s">
        <v>574</v>
      </c>
      <c r="F144" s="158">
        <f>13644.3+5400</f>
        <v>19044.3</v>
      </c>
      <c r="G144" s="158">
        <f t="shared" si="8"/>
        <v>19044.3</v>
      </c>
      <c r="H144" s="158"/>
    </row>
    <row r="145" spans="1:8" ht="36">
      <c r="A145" s="157" t="s">
        <v>1787</v>
      </c>
      <c r="B145" s="147" t="s">
        <v>1145</v>
      </c>
      <c r="C145" s="147" t="s">
        <v>900</v>
      </c>
      <c r="D145" s="147" t="s">
        <v>611</v>
      </c>
      <c r="E145" s="147" t="s">
        <v>574</v>
      </c>
      <c r="F145" s="158">
        <v>230</v>
      </c>
      <c r="G145" s="158">
        <f>F145</f>
        <v>230</v>
      </c>
      <c r="H145" s="158"/>
    </row>
    <row r="146" spans="1:8" ht="24">
      <c r="A146" s="157" t="s">
        <v>1789</v>
      </c>
      <c r="B146" s="147" t="s">
        <v>1145</v>
      </c>
      <c r="C146" s="147" t="s">
        <v>900</v>
      </c>
      <c r="D146" s="147" t="s">
        <v>611</v>
      </c>
      <c r="E146" s="147" t="s">
        <v>574</v>
      </c>
      <c r="F146" s="158">
        <v>260</v>
      </c>
      <c r="G146" s="158">
        <f>F146</f>
        <v>260</v>
      </c>
      <c r="H146" s="158"/>
    </row>
    <row r="147" spans="1:8" ht="36">
      <c r="A147" s="152" t="s">
        <v>1271</v>
      </c>
      <c r="B147" s="147" t="s">
        <v>1145</v>
      </c>
      <c r="C147" s="147" t="s">
        <v>900</v>
      </c>
      <c r="D147" s="147" t="s">
        <v>240</v>
      </c>
      <c r="E147" s="147"/>
      <c r="F147" s="151">
        <f>F148</f>
        <v>41427.100000000006</v>
      </c>
      <c r="G147" s="151">
        <f>G148</f>
        <v>41427.100000000006</v>
      </c>
      <c r="H147" s="151">
        <f>H148</f>
        <v>0</v>
      </c>
    </row>
    <row r="148" spans="1:8" ht="48">
      <c r="A148" s="152" t="s">
        <v>997</v>
      </c>
      <c r="B148" s="147" t="s">
        <v>1145</v>
      </c>
      <c r="C148" s="147" t="s">
        <v>900</v>
      </c>
      <c r="D148" s="147" t="s">
        <v>998</v>
      </c>
      <c r="E148" s="147"/>
      <c r="F148" s="155">
        <f>F149+F155+F158+F161</f>
        <v>41427.100000000006</v>
      </c>
      <c r="G148" s="155">
        <f>G149+G155+G158+G161</f>
        <v>41427.100000000006</v>
      </c>
      <c r="H148" s="155"/>
    </row>
    <row r="149" spans="1:8" ht="24">
      <c r="A149" s="152" t="s">
        <v>190</v>
      </c>
      <c r="B149" s="147" t="s">
        <v>1145</v>
      </c>
      <c r="C149" s="147" t="s">
        <v>900</v>
      </c>
      <c r="D149" s="147" t="s">
        <v>1107</v>
      </c>
      <c r="E149" s="147"/>
      <c r="F149" s="155">
        <f>F150+F152</f>
        <v>25980.300000000003</v>
      </c>
      <c r="G149" s="155">
        <f>G150+G152</f>
        <v>25980.300000000003</v>
      </c>
      <c r="H149" s="155"/>
    </row>
    <row r="150" spans="1:8" ht="34.5" customHeight="1">
      <c r="A150" s="153" t="s">
        <v>1066</v>
      </c>
      <c r="B150" s="147" t="s">
        <v>1145</v>
      </c>
      <c r="C150" s="147" t="s">
        <v>900</v>
      </c>
      <c r="D150" s="147" t="s">
        <v>1107</v>
      </c>
      <c r="E150" s="147" t="s">
        <v>529</v>
      </c>
      <c r="F150" s="155">
        <f>F151</f>
        <v>23709.600000000002</v>
      </c>
      <c r="G150" s="155">
        <f>F150-H150</f>
        <v>23709.600000000002</v>
      </c>
      <c r="H150" s="155"/>
    </row>
    <row r="151" spans="1:8" ht="24">
      <c r="A151" s="153" t="s">
        <v>974</v>
      </c>
      <c r="B151" s="147" t="s">
        <v>1145</v>
      </c>
      <c r="C151" s="147" t="s">
        <v>900</v>
      </c>
      <c r="D151" s="147" t="s">
        <v>1107</v>
      </c>
      <c r="E151" s="147" t="s">
        <v>429</v>
      </c>
      <c r="F151" s="158">
        <f>1974+3894.5+6629.6-88+350.2+5000+100+100+300-161.9+100+50+343-315-200+73.9-30-28+285+98+4522.7+1395-127.7-42-100-413.7</f>
        <v>23709.600000000002</v>
      </c>
      <c r="G151" s="155">
        <f>F151-H151</f>
        <v>23709.600000000002</v>
      </c>
      <c r="H151" s="158"/>
    </row>
    <row r="152" spans="1:8" ht="24">
      <c r="A152" s="153" t="s">
        <v>985</v>
      </c>
      <c r="B152" s="147" t="s">
        <v>1145</v>
      </c>
      <c r="C152" s="147" t="s">
        <v>900</v>
      </c>
      <c r="D152" s="147" t="s">
        <v>1107</v>
      </c>
      <c r="E152" s="147" t="s">
        <v>986</v>
      </c>
      <c r="F152" s="155">
        <f>F153+F154</f>
        <v>2270.7</v>
      </c>
      <c r="G152" s="155">
        <f>F152-H152</f>
        <v>2270.7</v>
      </c>
      <c r="H152" s="155"/>
    </row>
    <row r="153" spans="1:8" ht="24">
      <c r="A153" s="153" t="s">
        <v>972</v>
      </c>
      <c r="B153" s="147" t="s">
        <v>1145</v>
      </c>
      <c r="C153" s="147" t="s">
        <v>900</v>
      </c>
      <c r="D153" s="147" t="s">
        <v>1107</v>
      </c>
      <c r="E153" s="147" t="s">
        <v>973</v>
      </c>
      <c r="F153" s="158">
        <f>500+315+200+28+64+127.7</f>
        <v>1234.7</v>
      </c>
      <c r="G153" s="155">
        <f>F153-H153</f>
        <v>1234.7</v>
      </c>
      <c r="H153" s="155"/>
    </row>
    <row r="154" spans="1:8" ht="24">
      <c r="A154" s="153" t="s">
        <v>459</v>
      </c>
      <c r="B154" s="147" t="s">
        <v>1145</v>
      </c>
      <c r="C154" s="147" t="s">
        <v>900</v>
      </c>
      <c r="D154" s="147" t="s">
        <v>1107</v>
      </c>
      <c r="E154" s="147" t="s">
        <v>460</v>
      </c>
      <c r="F154" s="158">
        <f>750+120+30-64+200</f>
        <v>1036</v>
      </c>
      <c r="G154" s="155">
        <f>F154</f>
        <v>1036</v>
      </c>
      <c r="H154" s="155"/>
    </row>
    <row r="155" spans="1:8" ht="24">
      <c r="A155" s="152" t="s">
        <v>1281</v>
      </c>
      <c r="B155" s="147" t="s">
        <v>1145</v>
      </c>
      <c r="C155" s="147" t="s">
        <v>900</v>
      </c>
      <c r="D155" s="147" t="s">
        <v>1282</v>
      </c>
      <c r="E155" s="147"/>
      <c r="F155" s="279">
        <f>F156</f>
        <v>1020.8</v>
      </c>
      <c r="G155" s="155">
        <f>G156</f>
        <v>1020.8</v>
      </c>
      <c r="H155" s="158"/>
    </row>
    <row r="156" spans="1:8" ht="24">
      <c r="A156" s="153" t="s">
        <v>985</v>
      </c>
      <c r="B156" s="147" t="s">
        <v>1145</v>
      </c>
      <c r="C156" s="147" t="s">
        <v>900</v>
      </c>
      <c r="D156" s="147" t="s">
        <v>1282</v>
      </c>
      <c r="E156" s="147" t="s">
        <v>986</v>
      </c>
      <c r="F156" s="279">
        <f>F157</f>
        <v>1020.8</v>
      </c>
      <c r="G156" s="155">
        <f>G157</f>
        <v>1020.8</v>
      </c>
      <c r="H156" s="158"/>
    </row>
    <row r="157" spans="1:8" ht="24">
      <c r="A157" s="152" t="s">
        <v>987</v>
      </c>
      <c r="B157" s="147" t="s">
        <v>1145</v>
      </c>
      <c r="C157" s="147" t="s">
        <v>900</v>
      </c>
      <c r="D157" s="147" t="s">
        <v>1282</v>
      </c>
      <c r="E157" s="147" t="s">
        <v>988</v>
      </c>
      <c r="F157" s="158">
        <f>792+260.6-31.8</f>
        <v>1020.8</v>
      </c>
      <c r="G157" s="155">
        <f>F157</f>
        <v>1020.8</v>
      </c>
      <c r="H157" s="158"/>
    </row>
    <row r="158" spans="1:8" ht="24">
      <c r="A158" s="152" t="s">
        <v>1283</v>
      </c>
      <c r="B158" s="147" t="s">
        <v>1145</v>
      </c>
      <c r="C158" s="147" t="s">
        <v>900</v>
      </c>
      <c r="D158" s="147" t="s">
        <v>1284</v>
      </c>
      <c r="E158" s="147"/>
      <c r="F158" s="279">
        <f>F159</f>
        <v>200</v>
      </c>
      <c r="G158" s="155">
        <f>G159</f>
        <v>200</v>
      </c>
      <c r="H158" s="158"/>
    </row>
    <row r="159" spans="1:8" ht="24">
      <c r="A159" s="153" t="s">
        <v>985</v>
      </c>
      <c r="B159" s="147" t="s">
        <v>1145</v>
      </c>
      <c r="C159" s="147" t="s">
        <v>900</v>
      </c>
      <c r="D159" s="147" t="s">
        <v>1284</v>
      </c>
      <c r="E159" s="147" t="s">
        <v>986</v>
      </c>
      <c r="F159" s="279">
        <f>F160</f>
        <v>200</v>
      </c>
      <c r="G159" s="155">
        <f>G160</f>
        <v>200</v>
      </c>
      <c r="H159" s="158"/>
    </row>
    <row r="160" spans="1:8" ht="24">
      <c r="A160" s="152" t="s">
        <v>987</v>
      </c>
      <c r="B160" s="147" t="s">
        <v>1145</v>
      </c>
      <c r="C160" s="147" t="s">
        <v>900</v>
      </c>
      <c r="D160" s="147" t="s">
        <v>1284</v>
      </c>
      <c r="E160" s="147" t="s">
        <v>988</v>
      </c>
      <c r="F160" s="158">
        <v>200</v>
      </c>
      <c r="G160" s="155">
        <f>F160</f>
        <v>200</v>
      </c>
      <c r="H160" s="158"/>
    </row>
    <row r="161" spans="1:8" ht="60">
      <c r="A161" s="152" t="s">
        <v>1285</v>
      </c>
      <c r="B161" s="147" t="s">
        <v>1145</v>
      </c>
      <c r="C161" s="147" t="s">
        <v>900</v>
      </c>
      <c r="D161" s="147" t="s">
        <v>1286</v>
      </c>
      <c r="E161" s="147"/>
      <c r="F161" s="279">
        <f>F162</f>
        <v>14226</v>
      </c>
      <c r="G161" s="155">
        <f>G162</f>
        <v>14226</v>
      </c>
      <c r="H161" s="158"/>
    </row>
    <row r="162" spans="1:8" ht="24">
      <c r="A162" s="153" t="s">
        <v>985</v>
      </c>
      <c r="B162" s="147" t="s">
        <v>1145</v>
      </c>
      <c r="C162" s="147" t="s">
        <v>900</v>
      </c>
      <c r="D162" s="147" t="s">
        <v>1286</v>
      </c>
      <c r="E162" s="147" t="s">
        <v>986</v>
      </c>
      <c r="F162" s="279">
        <f>F163</f>
        <v>14226</v>
      </c>
      <c r="G162" s="155">
        <f>G163</f>
        <v>14226</v>
      </c>
      <c r="H162" s="158"/>
    </row>
    <row r="163" spans="1:8" ht="24">
      <c r="A163" s="152" t="s">
        <v>987</v>
      </c>
      <c r="B163" s="147" t="s">
        <v>1145</v>
      </c>
      <c r="C163" s="147" t="s">
        <v>900</v>
      </c>
      <c r="D163" s="147" t="s">
        <v>1286</v>
      </c>
      <c r="E163" s="147" t="s">
        <v>988</v>
      </c>
      <c r="F163" s="158">
        <f>889+13337</f>
        <v>14226</v>
      </c>
      <c r="G163" s="155">
        <f>F163</f>
        <v>14226</v>
      </c>
      <c r="H163" s="158"/>
    </row>
    <row r="164" spans="1:8" ht="48">
      <c r="A164" s="152" t="s">
        <v>1287</v>
      </c>
      <c r="B164" s="147" t="s">
        <v>1145</v>
      </c>
      <c r="C164" s="147" t="s">
        <v>900</v>
      </c>
      <c r="D164" s="147" t="s">
        <v>379</v>
      </c>
      <c r="E164" s="147"/>
      <c r="F164" s="155">
        <f>F165</f>
        <v>4462.400000000001</v>
      </c>
      <c r="G164" s="155">
        <f>F164-H164</f>
        <v>4462.400000000001</v>
      </c>
      <c r="H164" s="155"/>
    </row>
    <row r="165" spans="1:8" ht="33" customHeight="1">
      <c r="A165" s="153" t="s">
        <v>840</v>
      </c>
      <c r="B165" s="147" t="s">
        <v>1145</v>
      </c>
      <c r="C165" s="147" t="s">
        <v>900</v>
      </c>
      <c r="D165" s="147" t="s">
        <v>380</v>
      </c>
      <c r="E165" s="147"/>
      <c r="F165" s="155">
        <f>F166</f>
        <v>4462.400000000001</v>
      </c>
      <c r="G165" s="155">
        <f>G166</f>
        <v>4462.400000000001</v>
      </c>
      <c r="H165" s="155"/>
    </row>
    <row r="166" spans="1:8" ht="24">
      <c r="A166" s="153" t="s">
        <v>841</v>
      </c>
      <c r="B166" s="147" t="s">
        <v>1145</v>
      </c>
      <c r="C166" s="147" t="s">
        <v>900</v>
      </c>
      <c r="D166" s="147" t="s">
        <v>381</v>
      </c>
      <c r="E166" s="147"/>
      <c r="F166" s="155">
        <f>F167+F169+F171</f>
        <v>4462.400000000001</v>
      </c>
      <c r="G166" s="155">
        <f>G167+G169+G171</f>
        <v>4462.400000000001</v>
      </c>
      <c r="H166" s="155"/>
    </row>
    <row r="167" spans="1:8" ht="72">
      <c r="A167" s="153" t="s">
        <v>1065</v>
      </c>
      <c r="B167" s="147" t="s">
        <v>1145</v>
      </c>
      <c r="C167" s="147" t="s">
        <v>900</v>
      </c>
      <c r="D167" s="147" t="s">
        <v>381</v>
      </c>
      <c r="E167" s="147" t="s">
        <v>960</v>
      </c>
      <c r="F167" s="155">
        <f>F168</f>
        <v>3141</v>
      </c>
      <c r="G167" s="155">
        <f aca="true" t="shared" si="9" ref="G167:G177">F167-H167</f>
        <v>3141</v>
      </c>
      <c r="H167" s="155"/>
    </row>
    <row r="168" spans="1:8" ht="24">
      <c r="A168" s="152" t="s">
        <v>1165</v>
      </c>
      <c r="B168" s="147" t="s">
        <v>1145</v>
      </c>
      <c r="C168" s="147" t="s">
        <v>900</v>
      </c>
      <c r="D168" s="147" t="s">
        <v>381</v>
      </c>
      <c r="E168" s="147" t="s">
        <v>1166</v>
      </c>
      <c r="F168" s="158">
        <f>3778.6-637.6</f>
        <v>3141</v>
      </c>
      <c r="G168" s="155">
        <f t="shared" si="9"/>
        <v>3141</v>
      </c>
      <c r="H168" s="155"/>
    </row>
    <row r="169" spans="1:8" ht="24">
      <c r="A169" s="153" t="s">
        <v>1066</v>
      </c>
      <c r="B169" s="147" t="s">
        <v>1145</v>
      </c>
      <c r="C169" s="147" t="s">
        <v>900</v>
      </c>
      <c r="D169" s="147" t="s">
        <v>381</v>
      </c>
      <c r="E169" s="147" t="s">
        <v>529</v>
      </c>
      <c r="F169" s="155">
        <f>F170</f>
        <v>371.8</v>
      </c>
      <c r="G169" s="155">
        <f t="shared" si="9"/>
        <v>371.8</v>
      </c>
      <c r="H169" s="155"/>
    </row>
    <row r="170" spans="1:8" ht="24">
      <c r="A170" s="153" t="s">
        <v>591</v>
      </c>
      <c r="B170" s="147" t="s">
        <v>1145</v>
      </c>
      <c r="C170" s="147" t="s">
        <v>900</v>
      </c>
      <c r="D170" s="147" t="s">
        <v>381</v>
      </c>
      <c r="E170" s="147" t="s">
        <v>429</v>
      </c>
      <c r="F170" s="158">
        <f>221.3+154-3-0.5</f>
        <v>371.8</v>
      </c>
      <c r="G170" s="155">
        <f t="shared" si="9"/>
        <v>371.8</v>
      </c>
      <c r="H170" s="155"/>
    </row>
    <row r="171" spans="1:8" ht="18.75" customHeight="1">
      <c r="A171" s="153" t="s">
        <v>985</v>
      </c>
      <c r="B171" s="147" t="s">
        <v>1145</v>
      </c>
      <c r="C171" s="147" t="s">
        <v>900</v>
      </c>
      <c r="D171" s="147" t="s">
        <v>381</v>
      </c>
      <c r="E171" s="147" t="s">
        <v>986</v>
      </c>
      <c r="F171" s="155">
        <f>F173+F172</f>
        <v>949.6</v>
      </c>
      <c r="G171" s="155">
        <f t="shared" si="9"/>
        <v>949.6</v>
      </c>
      <c r="H171" s="155"/>
    </row>
    <row r="172" spans="1:8" ht="18.75" customHeight="1">
      <c r="A172" s="153" t="s">
        <v>972</v>
      </c>
      <c r="B172" s="147" t="s">
        <v>1145</v>
      </c>
      <c r="C172" s="147" t="s">
        <v>900</v>
      </c>
      <c r="D172" s="147" t="s">
        <v>381</v>
      </c>
      <c r="E172" s="147" t="s">
        <v>973</v>
      </c>
      <c r="F172" s="158">
        <f>32.5+533.5</f>
        <v>566</v>
      </c>
      <c r="G172" s="155">
        <f>F172</f>
        <v>566</v>
      </c>
      <c r="H172" s="155"/>
    </row>
    <row r="173" spans="1:8" ht="19.5" customHeight="1">
      <c r="A173" s="153" t="s">
        <v>459</v>
      </c>
      <c r="B173" s="147" t="s">
        <v>1145</v>
      </c>
      <c r="C173" s="147" t="s">
        <v>900</v>
      </c>
      <c r="D173" s="147" t="s">
        <v>381</v>
      </c>
      <c r="E173" s="147" t="s">
        <v>460</v>
      </c>
      <c r="F173" s="158">
        <f>410.1+6-32.5</f>
        <v>383.6</v>
      </c>
      <c r="G173" s="155">
        <f t="shared" si="9"/>
        <v>383.6</v>
      </c>
      <c r="H173" s="155"/>
    </row>
    <row r="174" spans="1:8" ht="33.75" customHeight="1">
      <c r="A174" s="152" t="s">
        <v>1288</v>
      </c>
      <c r="B174" s="147" t="s">
        <v>1145</v>
      </c>
      <c r="C174" s="147" t="s">
        <v>900</v>
      </c>
      <c r="D174" s="147" t="s">
        <v>842</v>
      </c>
      <c r="E174" s="147"/>
      <c r="F174" s="155">
        <f>F175</f>
        <v>7702</v>
      </c>
      <c r="G174" s="155">
        <f t="shared" si="9"/>
        <v>7702</v>
      </c>
      <c r="H174" s="155"/>
    </row>
    <row r="175" spans="1:8" ht="35.25" customHeight="1">
      <c r="A175" s="153" t="s">
        <v>840</v>
      </c>
      <c r="B175" s="147" t="s">
        <v>1145</v>
      </c>
      <c r="C175" s="147" t="s">
        <v>900</v>
      </c>
      <c r="D175" s="147" t="s">
        <v>843</v>
      </c>
      <c r="E175" s="147"/>
      <c r="F175" s="155">
        <f>F176</f>
        <v>7702</v>
      </c>
      <c r="G175" s="155">
        <f t="shared" si="9"/>
        <v>7702</v>
      </c>
      <c r="H175" s="155"/>
    </row>
    <row r="176" spans="1:8" ht="24">
      <c r="A176" s="153" t="s">
        <v>841</v>
      </c>
      <c r="B176" s="147" t="s">
        <v>1145</v>
      </c>
      <c r="C176" s="147" t="s">
        <v>900</v>
      </c>
      <c r="D176" s="147" t="s">
        <v>844</v>
      </c>
      <c r="E176" s="147"/>
      <c r="F176" s="158">
        <f>F177+F179+F181</f>
        <v>7702</v>
      </c>
      <c r="G176" s="155">
        <f t="shared" si="9"/>
        <v>7702</v>
      </c>
      <c r="H176" s="155"/>
    </row>
    <row r="177" spans="1:8" ht="74.25" customHeight="1">
      <c r="A177" s="153" t="s">
        <v>1065</v>
      </c>
      <c r="B177" s="147" t="s">
        <v>1145</v>
      </c>
      <c r="C177" s="147" t="s">
        <v>900</v>
      </c>
      <c r="D177" s="147" t="s">
        <v>844</v>
      </c>
      <c r="E177" s="147" t="s">
        <v>960</v>
      </c>
      <c r="F177" s="155">
        <f>F178</f>
        <v>6821</v>
      </c>
      <c r="G177" s="155">
        <f t="shared" si="9"/>
        <v>6821</v>
      </c>
      <c r="H177" s="155"/>
    </row>
    <row r="178" spans="1:8" ht="24">
      <c r="A178" s="152" t="s">
        <v>1165</v>
      </c>
      <c r="B178" s="147" t="s">
        <v>1145</v>
      </c>
      <c r="C178" s="147" t="s">
        <v>900</v>
      </c>
      <c r="D178" s="147" t="s">
        <v>844</v>
      </c>
      <c r="E178" s="147" t="s">
        <v>1166</v>
      </c>
      <c r="F178" s="158">
        <v>6821</v>
      </c>
      <c r="G178" s="155">
        <f>F178</f>
        <v>6821</v>
      </c>
      <c r="H178" s="155"/>
    </row>
    <row r="179" spans="1:8" ht="24">
      <c r="A179" s="153" t="s">
        <v>1066</v>
      </c>
      <c r="B179" s="147" t="s">
        <v>1145</v>
      </c>
      <c r="C179" s="147" t="s">
        <v>900</v>
      </c>
      <c r="D179" s="147" t="s">
        <v>844</v>
      </c>
      <c r="E179" s="147" t="s">
        <v>529</v>
      </c>
      <c r="F179" s="155">
        <f>F180</f>
        <v>871</v>
      </c>
      <c r="G179" s="155">
        <f>F179-H179</f>
        <v>871</v>
      </c>
      <c r="H179" s="158"/>
    </row>
    <row r="180" spans="1:8" ht="24">
      <c r="A180" s="153" t="s">
        <v>974</v>
      </c>
      <c r="B180" s="147" t="s">
        <v>1145</v>
      </c>
      <c r="C180" s="147" t="s">
        <v>900</v>
      </c>
      <c r="D180" s="147" t="s">
        <v>844</v>
      </c>
      <c r="E180" s="147" t="s">
        <v>429</v>
      </c>
      <c r="F180" s="158">
        <v>871</v>
      </c>
      <c r="G180" s="155">
        <f>F180</f>
        <v>871</v>
      </c>
      <c r="H180" s="158"/>
    </row>
    <row r="181" spans="1:8" ht="24">
      <c r="A181" s="153" t="s">
        <v>985</v>
      </c>
      <c r="B181" s="147" t="s">
        <v>1145</v>
      </c>
      <c r="C181" s="147" t="s">
        <v>900</v>
      </c>
      <c r="D181" s="147" t="s">
        <v>844</v>
      </c>
      <c r="E181" s="147" t="s">
        <v>986</v>
      </c>
      <c r="F181" s="155">
        <f>F182</f>
        <v>10</v>
      </c>
      <c r="G181" s="155">
        <f>F181-H181</f>
        <v>10</v>
      </c>
      <c r="H181" s="155"/>
    </row>
    <row r="182" spans="1:8" ht="24">
      <c r="A182" s="153" t="s">
        <v>459</v>
      </c>
      <c r="B182" s="147" t="s">
        <v>1145</v>
      </c>
      <c r="C182" s="147" t="s">
        <v>900</v>
      </c>
      <c r="D182" s="147" t="s">
        <v>844</v>
      </c>
      <c r="E182" s="147" t="s">
        <v>460</v>
      </c>
      <c r="F182" s="158">
        <v>10</v>
      </c>
      <c r="G182" s="155">
        <f>F182-H182</f>
        <v>10</v>
      </c>
      <c r="H182" s="155"/>
    </row>
    <row r="183" spans="1:8" ht="48">
      <c r="A183" s="152" t="s">
        <v>1289</v>
      </c>
      <c r="B183" s="147" t="s">
        <v>1145</v>
      </c>
      <c r="C183" s="147" t="s">
        <v>900</v>
      </c>
      <c r="D183" s="147" t="s">
        <v>723</v>
      </c>
      <c r="E183" s="147"/>
      <c r="F183" s="272">
        <f>F184</f>
        <v>33800.5</v>
      </c>
      <c r="G183" s="155">
        <f>F184-H183</f>
        <v>33800.5</v>
      </c>
      <c r="H183" s="158"/>
    </row>
    <row r="184" spans="1:8" ht="36">
      <c r="A184" s="152" t="s">
        <v>726</v>
      </c>
      <c r="B184" s="147" t="s">
        <v>1145</v>
      </c>
      <c r="C184" s="147" t="s">
        <v>900</v>
      </c>
      <c r="D184" s="147" t="s">
        <v>724</v>
      </c>
      <c r="E184" s="147"/>
      <c r="F184" s="155">
        <f>F185</f>
        <v>33800.5</v>
      </c>
      <c r="G184" s="155">
        <f>G185+G190</f>
        <v>36901.7</v>
      </c>
      <c r="H184" s="158"/>
    </row>
    <row r="185" spans="1:8" ht="24">
      <c r="A185" s="157" t="s">
        <v>191</v>
      </c>
      <c r="B185" s="147" t="s">
        <v>1145</v>
      </c>
      <c r="C185" s="147" t="s">
        <v>900</v>
      </c>
      <c r="D185" s="147" t="s">
        <v>725</v>
      </c>
      <c r="E185" s="147"/>
      <c r="F185" s="155">
        <f>F186+F188+F190</f>
        <v>33800.5</v>
      </c>
      <c r="G185" s="155">
        <f>F185-H185</f>
        <v>33800.5</v>
      </c>
      <c r="H185" s="155"/>
    </row>
    <row r="186" spans="1:8" ht="72">
      <c r="A186" s="153" t="s">
        <v>1065</v>
      </c>
      <c r="B186" s="147" t="s">
        <v>1145</v>
      </c>
      <c r="C186" s="147" t="s">
        <v>900</v>
      </c>
      <c r="D186" s="147" t="s">
        <v>725</v>
      </c>
      <c r="E186" s="147" t="s">
        <v>960</v>
      </c>
      <c r="F186" s="155">
        <f>F187</f>
        <v>26714.6</v>
      </c>
      <c r="G186" s="155">
        <f>F186-H186</f>
        <v>26714.6</v>
      </c>
      <c r="H186" s="155"/>
    </row>
    <row r="187" spans="1:8" ht="24">
      <c r="A187" s="153" t="s">
        <v>515</v>
      </c>
      <c r="B187" s="147" t="s">
        <v>1145</v>
      </c>
      <c r="C187" s="147" t="s">
        <v>900</v>
      </c>
      <c r="D187" s="147" t="s">
        <v>725</v>
      </c>
      <c r="E187" s="147" t="s">
        <v>115</v>
      </c>
      <c r="F187" s="158">
        <f>26707.6+7</f>
        <v>26714.6</v>
      </c>
      <c r="G187" s="155">
        <f>F187</f>
        <v>26714.6</v>
      </c>
      <c r="H187" s="155"/>
    </row>
    <row r="188" spans="1:8" ht="24">
      <c r="A188" s="153" t="s">
        <v>1066</v>
      </c>
      <c r="B188" s="147" t="s">
        <v>1145</v>
      </c>
      <c r="C188" s="147" t="s">
        <v>900</v>
      </c>
      <c r="D188" s="147" t="s">
        <v>725</v>
      </c>
      <c r="E188" s="147" t="s">
        <v>529</v>
      </c>
      <c r="F188" s="155">
        <f>F189</f>
        <v>3984.7</v>
      </c>
      <c r="G188" s="155">
        <f>F188-H188</f>
        <v>3984.7</v>
      </c>
      <c r="H188" s="155"/>
    </row>
    <row r="189" spans="1:8" ht="24">
      <c r="A189" s="153" t="s">
        <v>591</v>
      </c>
      <c r="B189" s="147" t="s">
        <v>1145</v>
      </c>
      <c r="C189" s="147" t="s">
        <v>900</v>
      </c>
      <c r="D189" s="147" t="s">
        <v>725</v>
      </c>
      <c r="E189" s="147" t="s">
        <v>429</v>
      </c>
      <c r="F189" s="158">
        <f>6600.2-2300-7-250+250-200-108.5</f>
        <v>3984.7</v>
      </c>
      <c r="G189" s="155">
        <f>F189-H189</f>
        <v>3984.7</v>
      </c>
      <c r="H189" s="155"/>
    </row>
    <row r="190" spans="1:8" ht="24">
      <c r="A190" s="153" t="s">
        <v>985</v>
      </c>
      <c r="B190" s="147" t="s">
        <v>1145</v>
      </c>
      <c r="C190" s="147" t="s">
        <v>900</v>
      </c>
      <c r="D190" s="147" t="s">
        <v>725</v>
      </c>
      <c r="E190" s="147" t="s">
        <v>986</v>
      </c>
      <c r="F190" s="155">
        <f>F191</f>
        <v>3101.2</v>
      </c>
      <c r="G190" s="155">
        <f>F190-H190</f>
        <v>3101.2</v>
      </c>
      <c r="H190" s="155"/>
    </row>
    <row r="191" spans="1:8" ht="24">
      <c r="A191" s="153" t="s">
        <v>459</v>
      </c>
      <c r="B191" s="147" t="s">
        <v>1145</v>
      </c>
      <c r="C191" s="147" t="s">
        <v>900</v>
      </c>
      <c r="D191" s="147" t="s">
        <v>725</v>
      </c>
      <c r="E191" s="147" t="s">
        <v>460</v>
      </c>
      <c r="F191" s="158">
        <f>3101.2</f>
        <v>3101.2</v>
      </c>
      <c r="G191" s="155">
        <f>F191-H191</f>
        <v>3101.2</v>
      </c>
      <c r="H191" s="155"/>
    </row>
    <row r="192" spans="1:8" ht="108">
      <c r="A192" s="152" t="s">
        <v>1290</v>
      </c>
      <c r="B192" s="147" t="s">
        <v>1145</v>
      </c>
      <c r="C192" s="147" t="s">
        <v>900</v>
      </c>
      <c r="D192" s="147" t="s">
        <v>728</v>
      </c>
      <c r="E192" s="147"/>
      <c r="F192" s="155">
        <f>F195+F198+F204+F208+F216</f>
        <v>288574.3</v>
      </c>
      <c r="G192" s="155">
        <f>G195+G198+G204+G208</f>
        <v>278088.3</v>
      </c>
      <c r="H192" s="155">
        <f>H195+H198+H204+H208+H216</f>
        <v>10486</v>
      </c>
    </row>
    <row r="193" spans="1:8" ht="24">
      <c r="A193" s="152" t="s">
        <v>727</v>
      </c>
      <c r="B193" s="147" t="s">
        <v>1145</v>
      </c>
      <c r="C193" s="147" t="s">
        <v>900</v>
      </c>
      <c r="D193" s="147" t="s">
        <v>789</v>
      </c>
      <c r="E193" s="147"/>
      <c r="F193" s="155">
        <f>F194</f>
        <v>149.7</v>
      </c>
      <c r="G193" s="155">
        <f>G195</f>
        <v>149.7</v>
      </c>
      <c r="H193" s="155"/>
    </row>
    <row r="194" spans="1:8" ht="24" customHeight="1">
      <c r="A194" s="152" t="s">
        <v>45</v>
      </c>
      <c r="B194" s="147" t="s">
        <v>1145</v>
      </c>
      <c r="C194" s="147" t="s">
        <v>900</v>
      </c>
      <c r="D194" s="147" t="s">
        <v>1100</v>
      </c>
      <c r="E194" s="147"/>
      <c r="F194" s="155">
        <f>F195</f>
        <v>149.7</v>
      </c>
      <c r="G194" s="155">
        <f>F194</f>
        <v>149.7</v>
      </c>
      <c r="H194" s="155"/>
    </row>
    <row r="195" spans="1:8" ht="24">
      <c r="A195" s="153" t="s">
        <v>1066</v>
      </c>
      <c r="B195" s="147" t="s">
        <v>1145</v>
      </c>
      <c r="C195" s="147" t="s">
        <v>900</v>
      </c>
      <c r="D195" s="147" t="s">
        <v>1100</v>
      </c>
      <c r="E195" s="147" t="s">
        <v>529</v>
      </c>
      <c r="F195" s="155">
        <f>F196</f>
        <v>149.7</v>
      </c>
      <c r="G195" s="155">
        <f>G196</f>
        <v>149.7</v>
      </c>
      <c r="H195" s="155"/>
    </row>
    <row r="196" spans="1:8" ht="24">
      <c r="A196" s="153" t="s">
        <v>974</v>
      </c>
      <c r="B196" s="147" t="s">
        <v>1145</v>
      </c>
      <c r="C196" s="147" t="s">
        <v>900</v>
      </c>
      <c r="D196" s="147" t="s">
        <v>1100</v>
      </c>
      <c r="E196" s="147" t="s">
        <v>429</v>
      </c>
      <c r="F196" s="161">
        <f>425-275.3</f>
        <v>149.7</v>
      </c>
      <c r="G196" s="155">
        <f>F196</f>
        <v>149.7</v>
      </c>
      <c r="H196" s="155"/>
    </row>
    <row r="197" spans="1:8" ht="36">
      <c r="A197" s="153" t="s">
        <v>732</v>
      </c>
      <c r="B197" s="147" t="s">
        <v>1145</v>
      </c>
      <c r="C197" s="147" t="s">
        <v>900</v>
      </c>
      <c r="D197" s="147" t="s">
        <v>729</v>
      </c>
      <c r="E197" s="147"/>
      <c r="F197" s="155">
        <f>F198</f>
        <v>260930.9</v>
      </c>
      <c r="G197" s="155">
        <f>G198</f>
        <v>260930.9</v>
      </c>
      <c r="H197" s="155"/>
    </row>
    <row r="198" spans="1:8" ht="36">
      <c r="A198" s="153" t="s">
        <v>665</v>
      </c>
      <c r="B198" s="147" t="s">
        <v>1145</v>
      </c>
      <c r="C198" s="147" t="s">
        <v>900</v>
      </c>
      <c r="D198" s="147" t="s">
        <v>790</v>
      </c>
      <c r="E198" s="147"/>
      <c r="F198" s="155">
        <f>F199+F202</f>
        <v>260930.9</v>
      </c>
      <c r="G198" s="155">
        <f aca="true" t="shared" si="10" ref="G198:G203">F198</f>
        <v>260930.9</v>
      </c>
      <c r="H198" s="155"/>
    </row>
    <row r="199" spans="1:8" ht="24">
      <c r="A199" s="153" t="s">
        <v>1066</v>
      </c>
      <c r="B199" s="147" t="s">
        <v>1145</v>
      </c>
      <c r="C199" s="147" t="s">
        <v>900</v>
      </c>
      <c r="D199" s="147" t="s">
        <v>790</v>
      </c>
      <c r="E199" s="147" t="s">
        <v>529</v>
      </c>
      <c r="F199" s="155">
        <f>F200+F201</f>
        <v>260830.9</v>
      </c>
      <c r="G199" s="155">
        <f t="shared" si="10"/>
        <v>260830.9</v>
      </c>
      <c r="H199" s="155"/>
    </row>
    <row r="200" spans="1:8" ht="24">
      <c r="A200" s="153" t="s">
        <v>974</v>
      </c>
      <c r="B200" s="147" t="s">
        <v>1145</v>
      </c>
      <c r="C200" s="147" t="s">
        <v>900</v>
      </c>
      <c r="D200" s="147" t="s">
        <v>790</v>
      </c>
      <c r="E200" s="147" t="s">
        <v>429</v>
      </c>
      <c r="F200" s="158">
        <f>8000+6606.9+210+5295.4-250+1720.3+1118.7+840+480.5+2102+982.5-639+6975+433.3+948+1250-2750-100</f>
        <v>33223.600000000006</v>
      </c>
      <c r="G200" s="155">
        <f t="shared" si="10"/>
        <v>33223.600000000006</v>
      </c>
      <c r="H200" s="155"/>
    </row>
    <row r="201" spans="1:8" ht="24">
      <c r="A201" s="153" t="s">
        <v>730</v>
      </c>
      <c r="B201" s="147" t="s">
        <v>1145</v>
      </c>
      <c r="C201" s="147" t="s">
        <v>900</v>
      </c>
      <c r="D201" s="147" t="s">
        <v>790</v>
      </c>
      <c r="E201" s="147" t="s">
        <v>429</v>
      </c>
      <c r="F201" s="158">
        <f>62000+6400+5000+8000+4400+30000+38014+12215.3+57000+4578</f>
        <v>227607.3</v>
      </c>
      <c r="G201" s="155">
        <f t="shared" si="10"/>
        <v>227607.3</v>
      </c>
      <c r="H201" s="155"/>
    </row>
    <row r="202" spans="1:8" ht="24">
      <c r="A202" s="153" t="s">
        <v>985</v>
      </c>
      <c r="B202" s="147" t="s">
        <v>1145</v>
      </c>
      <c r="C202" s="147" t="s">
        <v>900</v>
      </c>
      <c r="D202" s="147" t="s">
        <v>790</v>
      </c>
      <c r="E202" s="147" t="s">
        <v>986</v>
      </c>
      <c r="F202" s="158">
        <f>F203</f>
        <v>100</v>
      </c>
      <c r="G202" s="155">
        <f t="shared" si="10"/>
        <v>100</v>
      </c>
      <c r="H202" s="155"/>
    </row>
    <row r="203" spans="1:8" ht="24">
      <c r="A203" s="153" t="s">
        <v>459</v>
      </c>
      <c r="B203" s="147" t="s">
        <v>1145</v>
      </c>
      <c r="C203" s="147" t="s">
        <v>900</v>
      </c>
      <c r="D203" s="147" t="s">
        <v>790</v>
      </c>
      <c r="E203" s="147" t="s">
        <v>460</v>
      </c>
      <c r="F203" s="158">
        <f>100</f>
        <v>100</v>
      </c>
      <c r="G203" s="155">
        <f t="shared" si="10"/>
        <v>100</v>
      </c>
      <c r="H203" s="155"/>
    </row>
    <row r="204" spans="1:8" ht="36">
      <c r="A204" s="153" t="s">
        <v>731</v>
      </c>
      <c r="B204" s="147" t="s">
        <v>1145</v>
      </c>
      <c r="C204" s="147" t="s">
        <v>900</v>
      </c>
      <c r="D204" s="147" t="s">
        <v>1179</v>
      </c>
      <c r="E204" s="147"/>
      <c r="F204" s="155">
        <f>F205</f>
        <v>3507.7</v>
      </c>
      <c r="G204" s="155">
        <f>G206</f>
        <v>3507.7</v>
      </c>
      <c r="H204" s="155"/>
    </row>
    <row r="205" spans="1:8" ht="48">
      <c r="A205" s="152" t="s">
        <v>624</v>
      </c>
      <c r="B205" s="147" t="s">
        <v>1145</v>
      </c>
      <c r="C205" s="147" t="s">
        <v>900</v>
      </c>
      <c r="D205" s="147" t="s">
        <v>1101</v>
      </c>
      <c r="E205" s="147"/>
      <c r="F205" s="155">
        <f>F206</f>
        <v>3507.7</v>
      </c>
      <c r="G205" s="155">
        <f>G206</f>
        <v>3507.7</v>
      </c>
      <c r="H205" s="155"/>
    </row>
    <row r="206" spans="1:8" ht="24">
      <c r="A206" s="153" t="s">
        <v>1066</v>
      </c>
      <c r="B206" s="147" t="s">
        <v>1145</v>
      </c>
      <c r="C206" s="147" t="s">
        <v>900</v>
      </c>
      <c r="D206" s="147" t="s">
        <v>1101</v>
      </c>
      <c r="E206" s="147" t="s">
        <v>529</v>
      </c>
      <c r="F206" s="155">
        <f>F207</f>
        <v>3507.7</v>
      </c>
      <c r="G206" s="155">
        <f>G207</f>
        <v>3507.7</v>
      </c>
      <c r="H206" s="155"/>
    </row>
    <row r="207" spans="1:8" ht="24">
      <c r="A207" s="153" t="s">
        <v>974</v>
      </c>
      <c r="B207" s="147" t="s">
        <v>1145</v>
      </c>
      <c r="C207" s="147" t="s">
        <v>900</v>
      </c>
      <c r="D207" s="147" t="s">
        <v>1101</v>
      </c>
      <c r="E207" s="147" t="s">
        <v>429</v>
      </c>
      <c r="F207" s="158">
        <f>5542.2+250-369.5-1915</f>
        <v>3507.7</v>
      </c>
      <c r="G207" s="155">
        <f>F207</f>
        <v>3507.7</v>
      </c>
      <c r="H207" s="155"/>
    </row>
    <row r="208" spans="1:8" ht="36">
      <c r="A208" s="153" t="s">
        <v>840</v>
      </c>
      <c r="B208" s="147" t="s">
        <v>1145</v>
      </c>
      <c r="C208" s="147" t="s">
        <v>900</v>
      </c>
      <c r="D208" s="147" t="s">
        <v>1200</v>
      </c>
      <c r="E208" s="147"/>
      <c r="F208" s="155">
        <f>F209</f>
        <v>13500</v>
      </c>
      <c r="G208" s="155">
        <f>F208</f>
        <v>13500</v>
      </c>
      <c r="H208" s="155"/>
    </row>
    <row r="209" spans="1:8" ht="24">
      <c r="A209" s="153" t="s">
        <v>841</v>
      </c>
      <c r="B209" s="147" t="s">
        <v>1145</v>
      </c>
      <c r="C209" s="147" t="s">
        <v>900</v>
      </c>
      <c r="D209" s="147" t="s">
        <v>1444</v>
      </c>
      <c r="E209" s="147"/>
      <c r="F209" s="155">
        <f>F210+F212+F214</f>
        <v>13500</v>
      </c>
      <c r="G209" s="155">
        <f>G210+G212+G214</f>
        <v>13500</v>
      </c>
      <c r="H209" s="155"/>
    </row>
    <row r="210" spans="1:8" ht="69" customHeight="1">
      <c r="A210" s="153" t="s">
        <v>1065</v>
      </c>
      <c r="B210" s="147" t="s">
        <v>1145</v>
      </c>
      <c r="C210" s="147" t="s">
        <v>900</v>
      </c>
      <c r="D210" s="147" t="s">
        <v>1444</v>
      </c>
      <c r="E210" s="147" t="s">
        <v>960</v>
      </c>
      <c r="F210" s="155">
        <f>F211</f>
        <v>12922.9</v>
      </c>
      <c r="G210" s="155">
        <f>F210</f>
        <v>12922.9</v>
      </c>
      <c r="H210" s="155"/>
    </row>
    <row r="211" spans="1:8" ht="24">
      <c r="A211" s="152" t="s">
        <v>1165</v>
      </c>
      <c r="B211" s="147" t="s">
        <v>1145</v>
      </c>
      <c r="C211" s="147" t="s">
        <v>900</v>
      </c>
      <c r="D211" s="147" t="s">
        <v>1444</v>
      </c>
      <c r="E211" s="147" t="s">
        <v>1166</v>
      </c>
      <c r="F211" s="158">
        <f>9925.4+2997.5</f>
        <v>12922.9</v>
      </c>
      <c r="G211" s="155">
        <f>F211</f>
        <v>12922.9</v>
      </c>
      <c r="H211" s="155"/>
    </row>
    <row r="212" spans="1:8" ht="24">
      <c r="A212" s="153" t="s">
        <v>974</v>
      </c>
      <c r="B212" s="147" t="s">
        <v>1145</v>
      </c>
      <c r="C212" s="147" t="s">
        <v>900</v>
      </c>
      <c r="D212" s="147" t="s">
        <v>1444</v>
      </c>
      <c r="E212" s="147" t="s">
        <v>529</v>
      </c>
      <c r="F212" s="279">
        <f>F213</f>
        <v>561</v>
      </c>
      <c r="G212" s="155">
        <f>G213</f>
        <v>561</v>
      </c>
      <c r="H212" s="155"/>
    </row>
    <row r="213" spans="1:8" ht="24">
      <c r="A213" s="153" t="s">
        <v>1066</v>
      </c>
      <c r="B213" s="147" t="s">
        <v>1145</v>
      </c>
      <c r="C213" s="147" t="s">
        <v>900</v>
      </c>
      <c r="D213" s="147" t="s">
        <v>1444</v>
      </c>
      <c r="E213" s="147" t="s">
        <v>429</v>
      </c>
      <c r="F213" s="158">
        <f>577.1-16.1+2000-2000</f>
        <v>561</v>
      </c>
      <c r="G213" s="155">
        <f>F213</f>
        <v>561</v>
      </c>
      <c r="H213" s="155"/>
    </row>
    <row r="214" spans="1:8" ht="24">
      <c r="A214" s="153" t="s">
        <v>985</v>
      </c>
      <c r="B214" s="147" t="s">
        <v>1145</v>
      </c>
      <c r="C214" s="147" t="s">
        <v>900</v>
      </c>
      <c r="D214" s="147" t="s">
        <v>1444</v>
      </c>
      <c r="E214" s="147" t="s">
        <v>986</v>
      </c>
      <c r="F214" s="279">
        <f>F215</f>
        <v>16.1</v>
      </c>
      <c r="G214" s="155">
        <f>G215</f>
        <v>16.1</v>
      </c>
      <c r="H214" s="155"/>
    </row>
    <row r="215" spans="1:8" ht="24">
      <c r="A215" s="153" t="s">
        <v>459</v>
      </c>
      <c r="B215" s="147" t="s">
        <v>1145</v>
      </c>
      <c r="C215" s="147" t="s">
        <v>900</v>
      </c>
      <c r="D215" s="147" t="s">
        <v>1444</v>
      </c>
      <c r="E215" s="147" t="s">
        <v>460</v>
      </c>
      <c r="F215" s="158">
        <f>16.1</f>
        <v>16.1</v>
      </c>
      <c r="G215" s="155">
        <f>F215</f>
        <v>16.1</v>
      </c>
      <c r="H215" s="155"/>
    </row>
    <row r="216" spans="1:8" ht="36">
      <c r="A216" s="330" t="s">
        <v>1778</v>
      </c>
      <c r="B216" s="147" t="s">
        <v>1145</v>
      </c>
      <c r="C216" s="147" t="s">
        <v>900</v>
      </c>
      <c r="D216" s="147" t="s">
        <v>1779</v>
      </c>
      <c r="E216" s="147"/>
      <c r="F216" s="325">
        <f>F217</f>
        <v>10486</v>
      </c>
      <c r="G216" s="155"/>
      <c r="H216" s="155">
        <f>H217</f>
        <v>10486</v>
      </c>
    </row>
    <row r="217" spans="1:8" ht="39" customHeight="1">
      <c r="A217" s="326" t="s">
        <v>1541</v>
      </c>
      <c r="B217" s="147" t="s">
        <v>1145</v>
      </c>
      <c r="C217" s="147" t="s">
        <v>900</v>
      </c>
      <c r="D217" s="147" t="s">
        <v>1777</v>
      </c>
      <c r="E217" s="147"/>
      <c r="F217" s="155">
        <f>F218</f>
        <v>10486</v>
      </c>
      <c r="G217" s="155"/>
      <c r="H217" s="155">
        <f>H218</f>
        <v>10486</v>
      </c>
    </row>
    <row r="218" spans="1:8" ht="72">
      <c r="A218" s="153" t="s">
        <v>1065</v>
      </c>
      <c r="B218" s="147" t="s">
        <v>1145</v>
      </c>
      <c r="C218" s="147" t="s">
        <v>900</v>
      </c>
      <c r="D218" s="147" t="s">
        <v>1777</v>
      </c>
      <c r="E218" s="147" t="s">
        <v>960</v>
      </c>
      <c r="F218" s="155">
        <f>F219</f>
        <v>10486</v>
      </c>
      <c r="G218" s="155"/>
      <c r="H218" s="155">
        <f>H219</f>
        <v>10486</v>
      </c>
    </row>
    <row r="219" spans="1:8" ht="24">
      <c r="A219" s="153" t="s">
        <v>515</v>
      </c>
      <c r="B219" s="147" t="s">
        <v>1145</v>
      </c>
      <c r="C219" s="147" t="s">
        <v>900</v>
      </c>
      <c r="D219" s="147" t="s">
        <v>1777</v>
      </c>
      <c r="E219" s="147" t="s">
        <v>115</v>
      </c>
      <c r="F219" s="158">
        <f>10486</f>
        <v>10486</v>
      </c>
      <c r="G219" s="155"/>
      <c r="H219" s="155">
        <f>F219</f>
        <v>10486</v>
      </c>
    </row>
    <row r="220" spans="1:8" ht="60">
      <c r="A220" s="152" t="s">
        <v>1291</v>
      </c>
      <c r="B220" s="147" t="s">
        <v>1145</v>
      </c>
      <c r="C220" s="147" t="s">
        <v>900</v>
      </c>
      <c r="D220" s="147" t="s">
        <v>582</v>
      </c>
      <c r="E220" s="147"/>
      <c r="F220" s="155">
        <f>F221</f>
        <v>24953.1</v>
      </c>
      <c r="G220" s="155">
        <f aca="true" t="shared" si="11" ref="G220:G246">F220</f>
        <v>24953.1</v>
      </c>
      <c r="H220" s="155"/>
    </row>
    <row r="221" spans="1:8" ht="36">
      <c r="A221" s="153" t="s">
        <v>840</v>
      </c>
      <c r="B221" s="147" t="s">
        <v>1145</v>
      </c>
      <c r="C221" s="147" t="s">
        <v>900</v>
      </c>
      <c r="D221" s="147" t="s">
        <v>583</v>
      </c>
      <c r="E221" s="147"/>
      <c r="F221" s="155">
        <f>F222</f>
        <v>24953.1</v>
      </c>
      <c r="G221" s="155">
        <f>F221</f>
        <v>24953.1</v>
      </c>
      <c r="H221" s="155"/>
    </row>
    <row r="222" spans="1:8" ht="24">
      <c r="A222" s="153" t="s">
        <v>841</v>
      </c>
      <c r="B222" s="147" t="s">
        <v>1145</v>
      </c>
      <c r="C222" s="147" t="s">
        <v>900</v>
      </c>
      <c r="D222" s="147" t="s">
        <v>584</v>
      </c>
      <c r="E222" s="147"/>
      <c r="F222" s="155">
        <f>F223+F225+F227</f>
        <v>24953.1</v>
      </c>
      <c r="G222" s="155">
        <f>F222</f>
        <v>24953.1</v>
      </c>
      <c r="H222" s="155"/>
    </row>
    <row r="223" spans="1:8" ht="72">
      <c r="A223" s="153" t="s">
        <v>1065</v>
      </c>
      <c r="B223" s="147" t="s">
        <v>1145</v>
      </c>
      <c r="C223" s="147" t="s">
        <v>900</v>
      </c>
      <c r="D223" s="147" t="s">
        <v>584</v>
      </c>
      <c r="E223" s="147" t="s">
        <v>960</v>
      </c>
      <c r="F223" s="155">
        <f>F224</f>
        <v>17948</v>
      </c>
      <c r="G223" s="155">
        <f t="shared" si="11"/>
        <v>17948</v>
      </c>
      <c r="H223" s="155"/>
    </row>
    <row r="224" spans="1:8" ht="24">
      <c r="A224" s="152" t="s">
        <v>1165</v>
      </c>
      <c r="B224" s="147" t="s">
        <v>1145</v>
      </c>
      <c r="C224" s="147" t="s">
        <v>900</v>
      </c>
      <c r="D224" s="147" t="s">
        <v>584</v>
      </c>
      <c r="E224" s="147" t="s">
        <v>1166</v>
      </c>
      <c r="F224" s="158">
        <f>21743.4-2915.4-880</f>
        <v>17948</v>
      </c>
      <c r="G224" s="155">
        <f t="shared" si="11"/>
        <v>17948</v>
      </c>
      <c r="H224" s="155"/>
    </row>
    <row r="225" spans="1:8" ht="24">
      <c r="A225" s="153" t="s">
        <v>974</v>
      </c>
      <c r="B225" s="147" t="s">
        <v>1145</v>
      </c>
      <c r="C225" s="147" t="s">
        <v>900</v>
      </c>
      <c r="D225" s="147" t="s">
        <v>584</v>
      </c>
      <c r="E225" s="147" t="s">
        <v>529</v>
      </c>
      <c r="F225" s="155">
        <f>F226</f>
        <v>6995.1</v>
      </c>
      <c r="G225" s="155">
        <f t="shared" si="11"/>
        <v>6995.1</v>
      </c>
      <c r="H225" s="155"/>
    </row>
    <row r="226" spans="1:8" ht="36" customHeight="1">
      <c r="A226" s="153" t="s">
        <v>1066</v>
      </c>
      <c r="B226" s="147" t="s">
        <v>1145</v>
      </c>
      <c r="C226" s="147" t="s">
        <v>900</v>
      </c>
      <c r="D226" s="147" t="s">
        <v>584</v>
      </c>
      <c r="E226" s="147" t="s">
        <v>429</v>
      </c>
      <c r="F226" s="158">
        <f>1196.6+460+2948.5-10+400+2000</f>
        <v>6995.1</v>
      </c>
      <c r="G226" s="155">
        <f t="shared" si="11"/>
        <v>6995.1</v>
      </c>
      <c r="H226" s="155"/>
    </row>
    <row r="227" spans="1:8" ht="24">
      <c r="A227" s="153" t="s">
        <v>985</v>
      </c>
      <c r="B227" s="147" t="s">
        <v>1145</v>
      </c>
      <c r="C227" s="147" t="s">
        <v>900</v>
      </c>
      <c r="D227" s="147" t="s">
        <v>584</v>
      </c>
      <c r="E227" s="147" t="s">
        <v>986</v>
      </c>
      <c r="F227" s="279">
        <f>F228</f>
        <v>10</v>
      </c>
      <c r="G227" s="155">
        <f>F227</f>
        <v>10</v>
      </c>
      <c r="H227" s="155"/>
    </row>
    <row r="228" spans="1:8" ht="24">
      <c r="A228" s="153" t="s">
        <v>459</v>
      </c>
      <c r="B228" s="147" t="s">
        <v>1145</v>
      </c>
      <c r="C228" s="147" t="s">
        <v>900</v>
      </c>
      <c r="D228" s="147" t="s">
        <v>584</v>
      </c>
      <c r="E228" s="147" t="s">
        <v>460</v>
      </c>
      <c r="F228" s="158">
        <v>10</v>
      </c>
      <c r="G228" s="155">
        <f>F228</f>
        <v>10</v>
      </c>
      <c r="H228" s="155"/>
    </row>
    <row r="229" spans="1:8" ht="36">
      <c r="A229" s="153" t="s">
        <v>1292</v>
      </c>
      <c r="B229" s="147" t="s">
        <v>1145</v>
      </c>
      <c r="C229" s="147" t="s">
        <v>900</v>
      </c>
      <c r="D229" s="147" t="s">
        <v>826</v>
      </c>
      <c r="E229" s="147"/>
      <c r="F229" s="155">
        <f>F230</f>
        <v>6996.2</v>
      </c>
      <c r="G229" s="155">
        <f t="shared" si="11"/>
        <v>6996.2</v>
      </c>
      <c r="H229" s="155"/>
    </row>
    <row r="230" spans="1:8" ht="36">
      <c r="A230" s="153" t="s">
        <v>840</v>
      </c>
      <c r="B230" s="147" t="s">
        <v>1145</v>
      </c>
      <c r="C230" s="147" t="s">
        <v>900</v>
      </c>
      <c r="D230" s="147" t="s">
        <v>827</v>
      </c>
      <c r="E230" s="147"/>
      <c r="F230" s="155">
        <f>F231</f>
        <v>6996.2</v>
      </c>
      <c r="G230" s="155">
        <f t="shared" si="11"/>
        <v>6996.2</v>
      </c>
      <c r="H230" s="155"/>
    </row>
    <row r="231" spans="1:8" ht="24">
      <c r="A231" s="153" t="s">
        <v>841</v>
      </c>
      <c r="B231" s="147" t="s">
        <v>1145</v>
      </c>
      <c r="C231" s="147" t="s">
        <v>900</v>
      </c>
      <c r="D231" s="147" t="s">
        <v>828</v>
      </c>
      <c r="E231" s="147"/>
      <c r="F231" s="155">
        <f>F232+F234+F236</f>
        <v>6996.2</v>
      </c>
      <c r="G231" s="155">
        <f t="shared" si="11"/>
        <v>6996.2</v>
      </c>
      <c r="H231" s="155"/>
    </row>
    <row r="232" spans="1:8" ht="72">
      <c r="A232" s="153" t="s">
        <v>1065</v>
      </c>
      <c r="B232" s="147" t="s">
        <v>1145</v>
      </c>
      <c r="C232" s="147" t="s">
        <v>900</v>
      </c>
      <c r="D232" s="147" t="s">
        <v>828</v>
      </c>
      <c r="E232" s="147" t="s">
        <v>960</v>
      </c>
      <c r="F232" s="155">
        <f>F233</f>
        <v>6282.2</v>
      </c>
      <c r="G232" s="155">
        <f t="shared" si="11"/>
        <v>6282.2</v>
      </c>
      <c r="H232" s="155"/>
    </row>
    <row r="233" spans="1:8" ht="24">
      <c r="A233" s="152" t="s">
        <v>1165</v>
      </c>
      <c r="B233" s="147" t="s">
        <v>1145</v>
      </c>
      <c r="C233" s="147" t="s">
        <v>900</v>
      </c>
      <c r="D233" s="147" t="s">
        <v>828</v>
      </c>
      <c r="E233" s="147" t="s">
        <v>1166</v>
      </c>
      <c r="F233" s="158">
        <f>6087+195.2</f>
        <v>6282.2</v>
      </c>
      <c r="G233" s="155">
        <f t="shared" si="11"/>
        <v>6282.2</v>
      </c>
      <c r="H233" s="155"/>
    </row>
    <row r="234" spans="1:8" ht="24">
      <c r="A234" s="153" t="s">
        <v>974</v>
      </c>
      <c r="B234" s="147" t="s">
        <v>1145</v>
      </c>
      <c r="C234" s="147" t="s">
        <v>900</v>
      </c>
      <c r="D234" s="147" t="s">
        <v>828</v>
      </c>
      <c r="E234" s="147" t="s">
        <v>529</v>
      </c>
      <c r="F234" s="279">
        <f>F235</f>
        <v>638</v>
      </c>
      <c r="G234" s="155">
        <f t="shared" si="11"/>
        <v>638</v>
      </c>
      <c r="H234" s="155"/>
    </row>
    <row r="235" spans="1:8" ht="24">
      <c r="A235" s="153" t="s">
        <v>1066</v>
      </c>
      <c r="B235" s="147" t="s">
        <v>1145</v>
      </c>
      <c r="C235" s="147" t="s">
        <v>900</v>
      </c>
      <c r="D235" s="147" t="s">
        <v>828</v>
      </c>
      <c r="E235" s="147" t="s">
        <v>429</v>
      </c>
      <c r="F235" s="158">
        <f>139.4+473.4-5.3+30.5</f>
        <v>638</v>
      </c>
      <c r="G235" s="155">
        <f t="shared" si="11"/>
        <v>638</v>
      </c>
      <c r="H235" s="155"/>
    </row>
    <row r="236" spans="1:8" ht="24">
      <c r="A236" s="153" t="s">
        <v>985</v>
      </c>
      <c r="B236" s="147" t="s">
        <v>1145</v>
      </c>
      <c r="C236" s="147" t="s">
        <v>900</v>
      </c>
      <c r="D236" s="147" t="s">
        <v>828</v>
      </c>
      <c r="E236" s="147" t="s">
        <v>986</v>
      </c>
      <c r="F236" s="279">
        <f>F237</f>
        <v>76</v>
      </c>
      <c r="G236" s="155">
        <f t="shared" si="11"/>
        <v>76</v>
      </c>
      <c r="H236" s="155"/>
    </row>
    <row r="237" spans="1:8" ht="24">
      <c r="A237" s="153" t="s">
        <v>459</v>
      </c>
      <c r="B237" s="147" t="s">
        <v>1145</v>
      </c>
      <c r="C237" s="147" t="s">
        <v>900</v>
      </c>
      <c r="D237" s="147" t="s">
        <v>828</v>
      </c>
      <c r="E237" s="147" t="s">
        <v>460</v>
      </c>
      <c r="F237" s="158">
        <f>76</f>
        <v>76</v>
      </c>
      <c r="G237" s="155">
        <f t="shared" si="11"/>
        <v>76</v>
      </c>
      <c r="H237" s="155"/>
    </row>
    <row r="238" spans="1:8" ht="36">
      <c r="A238" s="153" t="s">
        <v>1414</v>
      </c>
      <c r="B238" s="147" t="s">
        <v>1145</v>
      </c>
      <c r="C238" s="147" t="s">
        <v>900</v>
      </c>
      <c r="D238" s="147" t="s">
        <v>1343</v>
      </c>
      <c r="E238" s="147"/>
      <c r="F238" s="155">
        <f>F239</f>
        <v>92002.2</v>
      </c>
      <c r="G238" s="155">
        <f t="shared" si="11"/>
        <v>92002.2</v>
      </c>
      <c r="H238" s="155"/>
    </row>
    <row r="239" spans="1:8" ht="36">
      <c r="A239" s="153" t="s">
        <v>840</v>
      </c>
      <c r="B239" s="147" t="s">
        <v>1145</v>
      </c>
      <c r="C239" s="147" t="s">
        <v>900</v>
      </c>
      <c r="D239" s="147" t="s">
        <v>1344</v>
      </c>
      <c r="E239" s="147"/>
      <c r="F239" s="155">
        <f>F240</f>
        <v>92002.2</v>
      </c>
      <c r="G239" s="155">
        <f t="shared" si="11"/>
        <v>92002.2</v>
      </c>
      <c r="H239" s="155"/>
    </row>
    <row r="240" spans="1:8" ht="24">
      <c r="A240" s="153" t="s">
        <v>841</v>
      </c>
      <c r="B240" s="147" t="s">
        <v>1145</v>
      </c>
      <c r="C240" s="147" t="s">
        <v>900</v>
      </c>
      <c r="D240" s="147" t="s">
        <v>1345</v>
      </c>
      <c r="E240" s="147"/>
      <c r="F240" s="155">
        <f>F241+F243+F245</f>
        <v>92002.2</v>
      </c>
      <c r="G240" s="155">
        <f t="shared" si="11"/>
        <v>92002.2</v>
      </c>
      <c r="H240" s="155"/>
    </row>
    <row r="241" spans="1:8" ht="72">
      <c r="A241" s="153" t="s">
        <v>1065</v>
      </c>
      <c r="B241" s="147" t="s">
        <v>1145</v>
      </c>
      <c r="C241" s="147" t="s">
        <v>900</v>
      </c>
      <c r="D241" s="147" t="s">
        <v>1345</v>
      </c>
      <c r="E241" s="147" t="s">
        <v>960</v>
      </c>
      <c r="F241" s="155">
        <f>F242</f>
        <v>72888.4</v>
      </c>
      <c r="G241" s="155">
        <f t="shared" si="11"/>
        <v>72888.4</v>
      </c>
      <c r="H241" s="155"/>
    </row>
    <row r="242" spans="1:8" ht="24">
      <c r="A242" s="152" t="s">
        <v>1165</v>
      </c>
      <c r="B242" s="147" t="s">
        <v>1145</v>
      </c>
      <c r="C242" s="147" t="s">
        <v>900</v>
      </c>
      <c r="D242" s="147" t="s">
        <v>1345</v>
      </c>
      <c r="E242" s="147" t="s">
        <v>1166</v>
      </c>
      <c r="F242" s="158">
        <f>53434.7+10845.4+3275.3+3200+180+692+211+500+150+310+90</f>
        <v>72888.4</v>
      </c>
      <c r="G242" s="155">
        <f t="shared" si="11"/>
        <v>72888.4</v>
      </c>
      <c r="H242" s="155"/>
    </row>
    <row r="243" spans="1:8" ht="24">
      <c r="A243" s="153" t="s">
        <v>974</v>
      </c>
      <c r="B243" s="147" t="s">
        <v>1145</v>
      </c>
      <c r="C243" s="147" t="s">
        <v>900</v>
      </c>
      <c r="D243" s="147" t="s">
        <v>1345</v>
      </c>
      <c r="E243" s="147" t="s">
        <v>529</v>
      </c>
      <c r="F243" s="279">
        <f>F244</f>
        <v>18613.2</v>
      </c>
      <c r="G243" s="155">
        <f t="shared" si="11"/>
        <v>18613.2</v>
      </c>
      <c r="H243" s="155"/>
    </row>
    <row r="244" spans="1:8" ht="24">
      <c r="A244" s="153" t="s">
        <v>1066</v>
      </c>
      <c r="B244" s="147" t="s">
        <v>1145</v>
      </c>
      <c r="C244" s="147" t="s">
        <v>900</v>
      </c>
      <c r="D244" s="147" t="s">
        <v>1345</v>
      </c>
      <c r="E244" s="147" t="s">
        <v>429</v>
      </c>
      <c r="F244" s="158">
        <f>22134.7-8810-2948.5+7500+2110-70-333-670+100-200-350+150</f>
        <v>18613.2</v>
      </c>
      <c r="G244" s="155">
        <f t="shared" si="11"/>
        <v>18613.2</v>
      </c>
      <c r="H244" s="155"/>
    </row>
    <row r="245" spans="1:8" ht="24">
      <c r="A245" s="153" t="s">
        <v>985</v>
      </c>
      <c r="B245" s="147" t="s">
        <v>1145</v>
      </c>
      <c r="C245" s="147" t="s">
        <v>900</v>
      </c>
      <c r="D245" s="147" t="s">
        <v>1345</v>
      </c>
      <c r="E245" s="147" t="s">
        <v>986</v>
      </c>
      <c r="F245" s="279">
        <f>F246</f>
        <v>500.6</v>
      </c>
      <c r="G245" s="155">
        <f t="shared" si="11"/>
        <v>500.6</v>
      </c>
      <c r="H245" s="155"/>
    </row>
    <row r="246" spans="1:8" ht="24">
      <c r="A246" s="153" t="s">
        <v>459</v>
      </c>
      <c r="B246" s="147" t="s">
        <v>1145</v>
      </c>
      <c r="C246" s="147" t="s">
        <v>900</v>
      </c>
      <c r="D246" s="147" t="s">
        <v>1345</v>
      </c>
      <c r="E246" s="147" t="s">
        <v>460</v>
      </c>
      <c r="F246" s="158">
        <f>430.6+70</f>
        <v>500.6</v>
      </c>
      <c r="G246" s="155">
        <f t="shared" si="11"/>
        <v>500.6</v>
      </c>
      <c r="H246" s="155"/>
    </row>
    <row r="247" spans="1:8" ht="60">
      <c r="A247" s="160" t="s">
        <v>1537</v>
      </c>
      <c r="B247" s="147" t="s">
        <v>1145</v>
      </c>
      <c r="C247" s="147" t="s">
        <v>900</v>
      </c>
      <c r="D247" s="147" t="s">
        <v>1010</v>
      </c>
      <c r="E247" s="147"/>
      <c r="F247" s="155">
        <f>F248+F252+F256</f>
        <v>400</v>
      </c>
      <c r="G247" s="155">
        <f>F247-H247</f>
        <v>400</v>
      </c>
      <c r="H247" s="155"/>
    </row>
    <row r="248" spans="1:8" ht="84">
      <c r="A248" s="152" t="s">
        <v>1579</v>
      </c>
      <c r="B248" s="147" t="s">
        <v>1145</v>
      </c>
      <c r="C248" s="147" t="s">
        <v>900</v>
      </c>
      <c r="D248" s="147" t="s">
        <v>1580</v>
      </c>
      <c r="E248" s="147"/>
      <c r="F248" s="155">
        <f aca="true" t="shared" si="12" ref="F248:G250">F249</f>
        <v>300</v>
      </c>
      <c r="G248" s="155">
        <f t="shared" si="12"/>
        <v>300</v>
      </c>
      <c r="H248" s="155"/>
    </row>
    <row r="249" spans="1:8" ht="24">
      <c r="A249" s="152" t="s">
        <v>1724</v>
      </c>
      <c r="B249" s="147" t="s">
        <v>1145</v>
      </c>
      <c r="C249" s="147" t="s">
        <v>900</v>
      </c>
      <c r="D249" s="147" t="s">
        <v>1725</v>
      </c>
      <c r="E249" s="147"/>
      <c r="F249" s="155">
        <f t="shared" si="12"/>
        <v>300</v>
      </c>
      <c r="G249" s="155">
        <f t="shared" si="12"/>
        <v>300</v>
      </c>
      <c r="H249" s="155"/>
    </row>
    <row r="250" spans="1:8" ht="24">
      <c r="A250" s="153" t="s">
        <v>1066</v>
      </c>
      <c r="B250" s="147" t="s">
        <v>1145</v>
      </c>
      <c r="C250" s="147" t="s">
        <v>900</v>
      </c>
      <c r="D250" s="147" t="s">
        <v>1725</v>
      </c>
      <c r="E250" s="147" t="s">
        <v>529</v>
      </c>
      <c r="F250" s="155">
        <f t="shared" si="12"/>
        <v>300</v>
      </c>
      <c r="G250" s="155">
        <f t="shared" si="12"/>
        <v>300</v>
      </c>
      <c r="H250" s="155"/>
    </row>
    <row r="251" spans="1:8" ht="24">
      <c r="A251" s="153" t="s">
        <v>974</v>
      </c>
      <c r="B251" s="147" t="s">
        <v>1145</v>
      </c>
      <c r="C251" s="147" t="s">
        <v>900</v>
      </c>
      <c r="D251" s="147" t="s">
        <v>1725</v>
      </c>
      <c r="E251" s="147" t="s">
        <v>429</v>
      </c>
      <c r="F251" s="158">
        <v>300</v>
      </c>
      <c r="G251" s="155">
        <f>F251-H251</f>
        <v>300</v>
      </c>
      <c r="H251" s="155"/>
    </row>
    <row r="252" spans="1:8" ht="72">
      <c r="A252" s="152" t="s">
        <v>1538</v>
      </c>
      <c r="B252" s="147" t="s">
        <v>1145</v>
      </c>
      <c r="C252" s="147" t="s">
        <v>900</v>
      </c>
      <c r="D252" s="147" t="s">
        <v>1539</v>
      </c>
      <c r="E252" s="147"/>
      <c r="F252" s="155">
        <f>F253</f>
        <v>100</v>
      </c>
      <c r="G252" s="155">
        <f>F252-H252</f>
        <v>100</v>
      </c>
      <c r="H252" s="155"/>
    </row>
    <row r="253" spans="1:8" ht="36">
      <c r="A253" s="152" t="s">
        <v>662</v>
      </c>
      <c r="B253" s="147" t="s">
        <v>1145</v>
      </c>
      <c r="C253" s="147" t="s">
        <v>900</v>
      </c>
      <c r="D253" s="147" t="s">
        <v>1540</v>
      </c>
      <c r="E253" s="147"/>
      <c r="F253" s="155">
        <f>F254</f>
        <v>100</v>
      </c>
      <c r="G253" s="155">
        <f>F253-H253</f>
        <v>100</v>
      </c>
      <c r="H253" s="155"/>
    </row>
    <row r="254" spans="1:8" ht="24">
      <c r="A254" s="153" t="s">
        <v>1066</v>
      </c>
      <c r="B254" s="147" t="s">
        <v>1145</v>
      </c>
      <c r="C254" s="147" t="s">
        <v>900</v>
      </c>
      <c r="D254" s="147" t="s">
        <v>1540</v>
      </c>
      <c r="E254" s="147" t="s">
        <v>529</v>
      </c>
      <c r="F254" s="155">
        <f>F255</f>
        <v>100</v>
      </c>
      <c r="G254" s="155">
        <f>F254-H254</f>
        <v>100</v>
      </c>
      <c r="H254" s="155"/>
    </row>
    <row r="255" spans="1:8" ht="24">
      <c r="A255" s="153" t="s">
        <v>974</v>
      </c>
      <c r="B255" s="147" t="s">
        <v>1145</v>
      </c>
      <c r="C255" s="147" t="s">
        <v>900</v>
      </c>
      <c r="D255" s="147" t="s">
        <v>1540</v>
      </c>
      <c r="E255" s="147" t="s">
        <v>429</v>
      </c>
      <c r="F255" s="158">
        <f>100+300-300</f>
        <v>100</v>
      </c>
      <c r="G255" s="155">
        <f>F255-H255</f>
        <v>100</v>
      </c>
      <c r="H255" s="155"/>
    </row>
    <row r="256" spans="1:8" ht="36">
      <c r="A256" s="152" t="s">
        <v>1293</v>
      </c>
      <c r="B256" s="147" t="s">
        <v>1145</v>
      </c>
      <c r="C256" s="147" t="s">
        <v>900</v>
      </c>
      <c r="D256" s="147" t="s">
        <v>1011</v>
      </c>
      <c r="E256" s="147"/>
      <c r="F256" s="155">
        <f>F259</f>
        <v>0</v>
      </c>
      <c r="G256" s="155">
        <f>F256</f>
        <v>0</v>
      </c>
      <c r="H256" s="155"/>
    </row>
    <row r="257" spans="1:8" ht="84">
      <c r="A257" s="152" t="s">
        <v>1212</v>
      </c>
      <c r="B257" s="147" t="s">
        <v>1145</v>
      </c>
      <c r="C257" s="147" t="s">
        <v>900</v>
      </c>
      <c r="D257" s="147" t="s">
        <v>1012</v>
      </c>
      <c r="E257" s="147"/>
      <c r="F257" s="155">
        <f>F258</f>
        <v>0</v>
      </c>
      <c r="G257" s="155">
        <f>F257</f>
        <v>0</v>
      </c>
      <c r="H257" s="155"/>
    </row>
    <row r="258" spans="1:8" ht="36">
      <c r="A258" s="152" t="s">
        <v>662</v>
      </c>
      <c r="B258" s="147" t="s">
        <v>1145</v>
      </c>
      <c r="C258" s="147" t="s">
        <v>900</v>
      </c>
      <c r="D258" s="147" t="s">
        <v>321</v>
      </c>
      <c r="E258" s="147"/>
      <c r="F258" s="155">
        <f>F259</f>
        <v>0</v>
      </c>
      <c r="G258" s="155">
        <f>G259</f>
        <v>0</v>
      </c>
      <c r="H258" s="155"/>
    </row>
    <row r="259" spans="1:8" ht="24">
      <c r="A259" s="153" t="s">
        <v>1066</v>
      </c>
      <c r="B259" s="147" t="s">
        <v>1145</v>
      </c>
      <c r="C259" s="147" t="s">
        <v>900</v>
      </c>
      <c r="D259" s="147" t="s">
        <v>321</v>
      </c>
      <c r="E259" s="147" t="s">
        <v>529</v>
      </c>
      <c r="F259" s="155">
        <f>F260</f>
        <v>0</v>
      </c>
      <c r="G259" s="155">
        <f>F259</f>
        <v>0</v>
      </c>
      <c r="H259" s="155"/>
    </row>
    <row r="260" spans="1:8" ht="24">
      <c r="A260" s="153" t="s">
        <v>974</v>
      </c>
      <c r="B260" s="147" t="s">
        <v>1145</v>
      </c>
      <c r="C260" s="147" t="s">
        <v>900</v>
      </c>
      <c r="D260" s="147" t="s">
        <v>321</v>
      </c>
      <c r="E260" s="147" t="s">
        <v>429</v>
      </c>
      <c r="F260" s="158">
        <f>600-500-100</f>
        <v>0</v>
      </c>
      <c r="G260" s="155">
        <f>F260</f>
        <v>0</v>
      </c>
      <c r="H260" s="155"/>
    </row>
    <row r="261" spans="1:8" ht="36">
      <c r="A261" s="312" t="s">
        <v>1541</v>
      </c>
      <c r="B261" s="147" t="s">
        <v>1145</v>
      </c>
      <c r="C261" s="147" t="s">
        <v>900</v>
      </c>
      <c r="D261" s="147" t="s">
        <v>1542</v>
      </c>
      <c r="E261" s="147"/>
      <c r="F261" s="155">
        <f>F262</f>
        <v>0</v>
      </c>
      <c r="G261" s="155"/>
      <c r="H261" s="155">
        <f>H262</f>
        <v>0</v>
      </c>
    </row>
    <row r="262" spans="1:8" ht="72">
      <c r="A262" s="153" t="s">
        <v>1065</v>
      </c>
      <c r="B262" s="147" t="s">
        <v>1145</v>
      </c>
      <c r="C262" s="147" t="s">
        <v>900</v>
      </c>
      <c r="D262" s="147" t="s">
        <v>1542</v>
      </c>
      <c r="E262" s="147" t="s">
        <v>960</v>
      </c>
      <c r="F262" s="155">
        <f>F263</f>
        <v>0</v>
      </c>
      <c r="G262" s="155"/>
      <c r="H262" s="155">
        <f>H263</f>
        <v>0</v>
      </c>
    </row>
    <row r="263" spans="1:8" ht="24">
      <c r="A263" s="153" t="s">
        <v>515</v>
      </c>
      <c r="B263" s="147" t="s">
        <v>1145</v>
      </c>
      <c r="C263" s="147" t="s">
        <v>900</v>
      </c>
      <c r="D263" s="147" t="s">
        <v>1542</v>
      </c>
      <c r="E263" s="147" t="s">
        <v>115</v>
      </c>
      <c r="F263" s="158">
        <f>10486-10486</f>
        <v>0</v>
      </c>
      <c r="G263" s="155"/>
      <c r="H263" s="155">
        <f>F263</f>
        <v>0</v>
      </c>
    </row>
    <row r="264" spans="1:8" ht="38.25">
      <c r="A264" s="166" t="s">
        <v>428</v>
      </c>
      <c r="B264" s="146" t="s">
        <v>436</v>
      </c>
      <c r="C264" s="147"/>
      <c r="D264" s="147"/>
      <c r="E264" s="147"/>
      <c r="F264" s="148">
        <f>F265+F308</f>
        <v>45338.5</v>
      </c>
      <c r="G264" s="167">
        <f aca="true" t="shared" si="13" ref="G264:G331">F264-H264</f>
        <v>45338.5</v>
      </c>
      <c r="H264" s="148"/>
    </row>
    <row r="265" spans="1:8" ht="48">
      <c r="A265" s="156" t="s">
        <v>377</v>
      </c>
      <c r="B265" s="147" t="s">
        <v>436</v>
      </c>
      <c r="C265" s="147" t="s">
        <v>435</v>
      </c>
      <c r="D265" s="147"/>
      <c r="E265" s="147"/>
      <c r="F265" s="155">
        <f>F266</f>
        <v>9286.1</v>
      </c>
      <c r="G265" s="155">
        <f t="shared" si="13"/>
        <v>9286.1</v>
      </c>
      <c r="H265" s="155"/>
    </row>
    <row r="266" spans="1:8" ht="36">
      <c r="A266" s="160" t="s">
        <v>1276</v>
      </c>
      <c r="B266" s="147" t="s">
        <v>436</v>
      </c>
      <c r="C266" s="147" t="s">
        <v>435</v>
      </c>
      <c r="D266" s="147" t="s">
        <v>193</v>
      </c>
      <c r="E266" s="147"/>
      <c r="F266" s="155">
        <f>F267+F294+F299</f>
        <v>9286.1</v>
      </c>
      <c r="G266" s="155">
        <f t="shared" si="13"/>
        <v>9286.1</v>
      </c>
      <c r="H266" s="155"/>
    </row>
    <row r="267" spans="1:8" ht="22.5" customHeight="1">
      <c r="A267" s="152" t="s">
        <v>1277</v>
      </c>
      <c r="B267" s="147" t="s">
        <v>436</v>
      </c>
      <c r="C267" s="147" t="s">
        <v>435</v>
      </c>
      <c r="D267" s="147" t="s">
        <v>194</v>
      </c>
      <c r="E267" s="147"/>
      <c r="F267" s="155">
        <f>F268+F272+F278+F282+F286+F290</f>
        <v>5937</v>
      </c>
      <c r="G267" s="155">
        <f t="shared" si="13"/>
        <v>5937</v>
      </c>
      <c r="H267" s="155"/>
    </row>
    <row r="268" spans="1:8" ht="21.75" customHeight="1">
      <c r="A268" s="152" t="s">
        <v>192</v>
      </c>
      <c r="B268" s="147" t="s">
        <v>436</v>
      </c>
      <c r="C268" s="147" t="s">
        <v>435</v>
      </c>
      <c r="D268" s="147" t="s">
        <v>195</v>
      </c>
      <c r="E268" s="147"/>
      <c r="F268" s="155">
        <f>F269</f>
        <v>100</v>
      </c>
      <c r="G268" s="155">
        <f t="shared" si="13"/>
        <v>100</v>
      </c>
      <c r="H268" s="155"/>
    </row>
    <row r="269" spans="1:8" ht="37.5" customHeight="1">
      <c r="A269" s="152" t="s">
        <v>196</v>
      </c>
      <c r="B269" s="147" t="s">
        <v>436</v>
      </c>
      <c r="C269" s="147" t="s">
        <v>435</v>
      </c>
      <c r="D269" s="147" t="s">
        <v>197</v>
      </c>
      <c r="E269" s="147"/>
      <c r="F269" s="155">
        <f>F270</f>
        <v>100</v>
      </c>
      <c r="G269" s="155">
        <f t="shared" si="13"/>
        <v>100</v>
      </c>
      <c r="H269" s="155"/>
    </row>
    <row r="270" spans="1:8" ht="24">
      <c r="A270" s="153" t="s">
        <v>1066</v>
      </c>
      <c r="B270" s="147" t="s">
        <v>436</v>
      </c>
      <c r="C270" s="147" t="s">
        <v>435</v>
      </c>
      <c r="D270" s="147" t="s">
        <v>197</v>
      </c>
      <c r="E270" s="147" t="s">
        <v>529</v>
      </c>
      <c r="F270" s="155">
        <f>F271</f>
        <v>100</v>
      </c>
      <c r="G270" s="155">
        <f t="shared" si="13"/>
        <v>100</v>
      </c>
      <c r="H270" s="155"/>
    </row>
    <row r="271" spans="1:8" ht="24">
      <c r="A271" s="153" t="s">
        <v>591</v>
      </c>
      <c r="B271" s="147" t="s">
        <v>436</v>
      </c>
      <c r="C271" s="147" t="s">
        <v>435</v>
      </c>
      <c r="D271" s="147" t="s">
        <v>197</v>
      </c>
      <c r="E271" s="147" t="s">
        <v>429</v>
      </c>
      <c r="F271" s="158">
        <v>100</v>
      </c>
      <c r="G271" s="155">
        <f t="shared" si="13"/>
        <v>100</v>
      </c>
      <c r="H271" s="155"/>
    </row>
    <row r="272" spans="1:8" ht="60">
      <c r="A272" s="157" t="s">
        <v>1448</v>
      </c>
      <c r="B272" s="147" t="s">
        <v>436</v>
      </c>
      <c r="C272" s="147" t="s">
        <v>435</v>
      </c>
      <c r="D272" s="147" t="s">
        <v>1446</v>
      </c>
      <c r="E272" s="147"/>
      <c r="F272" s="279">
        <f>F273</f>
        <v>542</v>
      </c>
      <c r="G272" s="279">
        <f t="shared" si="13"/>
        <v>542</v>
      </c>
      <c r="H272" s="158"/>
    </row>
    <row r="273" spans="1:8" ht="48">
      <c r="A273" s="152" t="s">
        <v>196</v>
      </c>
      <c r="B273" s="147" t="s">
        <v>436</v>
      </c>
      <c r="C273" s="147" t="s">
        <v>435</v>
      </c>
      <c r="D273" s="147" t="s">
        <v>1447</v>
      </c>
      <c r="E273" s="10"/>
      <c r="F273" s="279">
        <f>F274+F276</f>
        <v>542</v>
      </c>
      <c r="G273" s="155">
        <f t="shared" si="13"/>
        <v>542</v>
      </c>
      <c r="H273" s="158"/>
    </row>
    <row r="274" spans="1:8" ht="24">
      <c r="A274" s="153" t="s">
        <v>1066</v>
      </c>
      <c r="B274" s="147" t="s">
        <v>436</v>
      </c>
      <c r="C274" s="147" t="s">
        <v>435</v>
      </c>
      <c r="D274" s="147" t="s">
        <v>1447</v>
      </c>
      <c r="E274" s="147" t="s">
        <v>529</v>
      </c>
      <c r="F274" s="279">
        <f>F275</f>
        <v>74</v>
      </c>
      <c r="G274" s="155">
        <f t="shared" si="13"/>
        <v>74</v>
      </c>
      <c r="H274" s="158"/>
    </row>
    <row r="275" spans="1:8" ht="24">
      <c r="A275" s="153" t="s">
        <v>591</v>
      </c>
      <c r="B275" s="147" t="s">
        <v>436</v>
      </c>
      <c r="C275" s="147" t="s">
        <v>435</v>
      </c>
      <c r="D275" s="147" t="s">
        <v>1447</v>
      </c>
      <c r="E275" s="147" t="s">
        <v>429</v>
      </c>
      <c r="F275" s="158">
        <f>1000+22-948</f>
        <v>74</v>
      </c>
      <c r="G275" s="155">
        <f t="shared" si="13"/>
        <v>74</v>
      </c>
      <c r="H275" s="158"/>
    </row>
    <row r="276" spans="1:8" ht="24">
      <c r="A276" s="153" t="s">
        <v>985</v>
      </c>
      <c r="B276" s="147" t="s">
        <v>436</v>
      </c>
      <c r="C276" s="147" t="s">
        <v>435</v>
      </c>
      <c r="D276" s="147" t="s">
        <v>1447</v>
      </c>
      <c r="E276" s="147" t="s">
        <v>986</v>
      </c>
      <c r="F276" s="279">
        <f>F277</f>
        <v>468</v>
      </c>
      <c r="G276" s="155">
        <f t="shared" si="13"/>
        <v>468</v>
      </c>
      <c r="H276" s="158"/>
    </row>
    <row r="277" spans="1:8" ht="24">
      <c r="A277" s="157" t="s">
        <v>987</v>
      </c>
      <c r="B277" s="147" t="s">
        <v>436</v>
      </c>
      <c r="C277" s="147" t="s">
        <v>435</v>
      </c>
      <c r="D277" s="147" t="s">
        <v>1447</v>
      </c>
      <c r="E277" s="147" t="s">
        <v>988</v>
      </c>
      <c r="F277" s="158">
        <f>490-22</f>
        <v>468</v>
      </c>
      <c r="G277" s="155">
        <f t="shared" si="13"/>
        <v>468</v>
      </c>
      <c r="H277" s="158"/>
    </row>
    <row r="278" spans="1:8" ht="42.75" customHeight="1">
      <c r="A278" s="157" t="s">
        <v>1451</v>
      </c>
      <c r="B278" s="147" t="s">
        <v>436</v>
      </c>
      <c r="C278" s="147" t="s">
        <v>435</v>
      </c>
      <c r="D278" s="147" t="s">
        <v>1449</v>
      </c>
      <c r="E278" s="147"/>
      <c r="F278" s="279">
        <f>F279</f>
        <v>150</v>
      </c>
      <c r="G278" s="155">
        <f t="shared" si="13"/>
        <v>150</v>
      </c>
      <c r="H278" s="158"/>
    </row>
    <row r="279" spans="1:8" ht="48">
      <c r="A279" s="152" t="s">
        <v>196</v>
      </c>
      <c r="B279" s="147" t="s">
        <v>436</v>
      </c>
      <c r="C279" s="147" t="s">
        <v>435</v>
      </c>
      <c r="D279" s="147" t="s">
        <v>1450</v>
      </c>
      <c r="E279" s="147"/>
      <c r="F279" s="279">
        <f>F280</f>
        <v>150</v>
      </c>
      <c r="G279" s="155">
        <f t="shared" si="13"/>
        <v>150</v>
      </c>
      <c r="H279" s="158"/>
    </row>
    <row r="280" spans="1:8" ht="24">
      <c r="A280" s="153" t="s">
        <v>1066</v>
      </c>
      <c r="B280" s="147" t="s">
        <v>436</v>
      </c>
      <c r="C280" s="147" t="s">
        <v>435</v>
      </c>
      <c r="D280" s="147" t="s">
        <v>1450</v>
      </c>
      <c r="E280" s="147" t="s">
        <v>529</v>
      </c>
      <c r="F280" s="279">
        <f>F281</f>
        <v>150</v>
      </c>
      <c r="G280" s="155">
        <f t="shared" si="13"/>
        <v>150</v>
      </c>
      <c r="H280" s="158"/>
    </row>
    <row r="281" spans="1:8" ht="24">
      <c r="A281" s="153" t="s">
        <v>591</v>
      </c>
      <c r="B281" s="147" t="s">
        <v>436</v>
      </c>
      <c r="C281" s="147" t="s">
        <v>435</v>
      </c>
      <c r="D281" s="147" t="s">
        <v>1450</v>
      </c>
      <c r="E281" s="147" t="s">
        <v>429</v>
      </c>
      <c r="F281" s="158">
        <v>150</v>
      </c>
      <c r="G281" s="155">
        <f t="shared" si="13"/>
        <v>150</v>
      </c>
      <c r="H281" s="158"/>
    </row>
    <row r="282" spans="1:8" ht="36">
      <c r="A282" s="153" t="s">
        <v>1456</v>
      </c>
      <c r="B282" s="147" t="s">
        <v>436</v>
      </c>
      <c r="C282" s="147" t="s">
        <v>435</v>
      </c>
      <c r="D282" s="147" t="s">
        <v>1452</v>
      </c>
      <c r="E282" s="147"/>
      <c r="F282" s="279">
        <f>F283</f>
        <v>150</v>
      </c>
      <c r="G282" s="155">
        <f t="shared" si="13"/>
        <v>150</v>
      </c>
      <c r="H282" s="158"/>
    </row>
    <row r="283" spans="1:8" ht="35.25" customHeight="1">
      <c r="A283" s="152" t="s">
        <v>196</v>
      </c>
      <c r="B283" s="147" t="s">
        <v>436</v>
      </c>
      <c r="C283" s="147" t="s">
        <v>435</v>
      </c>
      <c r="D283" s="147" t="s">
        <v>1543</v>
      </c>
      <c r="E283" s="147"/>
      <c r="F283" s="279">
        <f>F284</f>
        <v>150</v>
      </c>
      <c r="G283" s="155">
        <f t="shared" si="13"/>
        <v>150</v>
      </c>
      <c r="H283" s="158"/>
    </row>
    <row r="284" spans="1:8" ht="24">
      <c r="A284" s="153" t="s">
        <v>1066</v>
      </c>
      <c r="B284" s="147" t="s">
        <v>436</v>
      </c>
      <c r="C284" s="147" t="s">
        <v>435</v>
      </c>
      <c r="D284" s="147" t="s">
        <v>1543</v>
      </c>
      <c r="E284" s="147" t="s">
        <v>529</v>
      </c>
      <c r="F284" s="279">
        <f>F285</f>
        <v>150</v>
      </c>
      <c r="G284" s="155">
        <f t="shared" si="13"/>
        <v>150</v>
      </c>
      <c r="H284" s="158"/>
    </row>
    <row r="285" spans="1:8" ht="29.25" customHeight="1">
      <c r="A285" s="153" t="s">
        <v>591</v>
      </c>
      <c r="B285" s="147" t="s">
        <v>436</v>
      </c>
      <c r="C285" s="147" t="s">
        <v>435</v>
      </c>
      <c r="D285" s="147" t="s">
        <v>1543</v>
      </c>
      <c r="E285" s="147" t="s">
        <v>429</v>
      </c>
      <c r="F285" s="158">
        <v>150</v>
      </c>
      <c r="G285" s="155">
        <f t="shared" si="13"/>
        <v>150</v>
      </c>
      <c r="H285" s="158"/>
    </row>
    <row r="286" spans="1:8" ht="48">
      <c r="A286" s="153" t="s">
        <v>1457</v>
      </c>
      <c r="B286" s="147" t="s">
        <v>436</v>
      </c>
      <c r="C286" s="147" t="s">
        <v>435</v>
      </c>
      <c r="D286" s="147" t="s">
        <v>1454</v>
      </c>
      <c r="E286" s="147"/>
      <c r="F286" s="279">
        <f>F287</f>
        <v>350</v>
      </c>
      <c r="G286" s="155">
        <f t="shared" si="13"/>
        <v>350</v>
      </c>
      <c r="H286" s="158"/>
    </row>
    <row r="287" spans="1:8" ht="39" customHeight="1">
      <c r="A287" s="152" t="s">
        <v>196</v>
      </c>
      <c r="B287" s="147" t="s">
        <v>436</v>
      </c>
      <c r="C287" s="147" t="s">
        <v>435</v>
      </c>
      <c r="D287" s="147" t="s">
        <v>1455</v>
      </c>
      <c r="E287" s="147"/>
      <c r="F287" s="279">
        <f>F288</f>
        <v>350</v>
      </c>
      <c r="G287" s="155">
        <f t="shared" si="13"/>
        <v>350</v>
      </c>
      <c r="H287" s="158"/>
    </row>
    <row r="288" spans="1:8" ht="24">
      <c r="A288" s="153" t="s">
        <v>1066</v>
      </c>
      <c r="B288" s="147" t="s">
        <v>436</v>
      </c>
      <c r="C288" s="147" t="s">
        <v>435</v>
      </c>
      <c r="D288" s="147" t="s">
        <v>1455</v>
      </c>
      <c r="E288" s="147" t="s">
        <v>529</v>
      </c>
      <c r="F288" s="279">
        <f>F289</f>
        <v>350</v>
      </c>
      <c r="G288" s="155">
        <f t="shared" si="13"/>
        <v>350</v>
      </c>
      <c r="H288" s="158"/>
    </row>
    <row r="289" spans="1:8" ht="24">
      <c r="A289" s="153" t="s">
        <v>591</v>
      </c>
      <c r="B289" s="147" t="s">
        <v>436</v>
      </c>
      <c r="C289" s="147" t="s">
        <v>435</v>
      </c>
      <c r="D289" s="147" t="s">
        <v>1455</v>
      </c>
      <c r="E289" s="147" t="s">
        <v>429</v>
      </c>
      <c r="F289" s="158">
        <v>350</v>
      </c>
      <c r="G289" s="155">
        <f t="shared" si="13"/>
        <v>350</v>
      </c>
      <c r="H289" s="158"/>
    </row>
    <row r="290" spans="1:8" ht="36">
      <c r="A290" s="153" t="s">
        <v>840</v>
      </c>
      <c r="B290" s="147" t="s">
        <v>436</v>
      </c>
      <c r="C290" s="147" t="s">
        <v>435</v>
      </c>
      <c r="D290" s="147" t="s">
        <v>1780</v>
      </c>
      <c r="E290" s="147"/>
      <c r="F290" s="155">
        <f>F291</f>
        <v>4645</v>
      </c>
      <c r="G290" s="155">
        <f>F290</f>
        <v>4645</v>
      </c>
      <c r="H290" s="155"/>
    </row>
    <row r="291" spans="1:8" ht="24">
      <c r="A291" s="153" t="s">
        <v>841</v>
      </c>
      <c r="B291" s="147" t="s">
        <v>436</v>
      </c>
      <c r="C291" s="147" t="s">
        <v>435</v>
      </c>
      <c r="D291" s="147" t="s">
        <v>1781</v>
      </c>
      <c r="E291" s="147"/>
      <c r="F291" s="155">
        <f>F292</f>
        <v>4645</v>
      </c>
      <c r="G291" s="155">
        <f>F291</f>
        <v>4645</v>
      </c>
      <c r="H291" s="155"/>
    </row>
    <row r="292" spans="1:8" ht="72">
      <c r="A292" s="153" t="s">
        <v>1065</v>
      </c>
      <c r="B292" s="147" t="s">
        <v>436</v>
      </c>
      <c r="C292" s="147" t="s">
        <v>435</v>
      </c>
      <c r="D292" s="147" t="s">
        <v>1781</v>
      </c>
      <c r="E292" s="147" t="s">
        <v>960</v>
      </c>
      <c r="F292" s="155">
        <f>F293</f>
        <v>4645</v>
      </c>
      <c r="G292" s="155">
        <f>F292</f>
        <v>4645</v>
      </c>
      <c r="H292" s="155"/>
    </row>
    <row r="293" spans="1:8" ht="24">
      <c r="A293" s="152" t="s">
        <v>1165</v>
      </c>
      <c r="B293" s="147" t="s">
        <v>436</v>
      </c>
      <c r="C293" s="147" t="s">
        <v>435</v>
      </c>
      <c r="D293" s="147" t="s">
        <v>1781</v>
      </c>
      <c r="E293" s="147" t="s">
        <v>1166</v>
      </c>
      <c r="F293" s="158">
        <v>4645</v>
      </c>
      <c r="G293" s="155">
        <f>F293</f>
        <v>4645</v>
      </c>
      <c r="H293" s="155"/>
    </row>
    <row r="294" spans="1:8" ht="48">
      <c r="A294" s="152" t="s">
        <v>1294</v>
      </c>
      <c r="B294" s="147" t="s">
        <v>436</v>
      </c>
      <c r="C294" s="147" t="s">
        <v>435</v>
      </c>
      <c r="D294" s="147" t="s">
        <v>333</v>
      </c>
      <c r="E294" s="147"/>
      <c r="F294" s="155">
        <f>F296</f>
        <v>2000</v>
      </c>
      <c r="G294" s="155">
        <f t="shared" si="13"/>
        <v>2000</v>
      </c>
      <c r="H294" s="158"/>
    </row>
    <row r="295" spans="1:8" ht="96">
      <c r="A295" s="152" t="s">
        <v>1458</v>
      </c>
      <c r="B295" s="147" t="s">
        <v>436</v>
      </c>
      <c r="C295" s="147" t="s">
        <v>435</v>
      </c>
      <c r="D295" s="147" t="s">
        <v>334</v>
      </c>
      <c r="E295" s="147"/>
      <c r="F295" s="155">
        <f>F296</f>
        <v>2000</v>
      </c>
      <c r="G295" s="155">
        <f>G296</f>
        <v>2000</v>
      </c>
      <c r="H295" s="158"/>
    </row>
    <row r="296" spans="1:8" ht="48">
      <c r="A296" s="152" t="s">
        <v>332</v>
      </c>
      <c r="B296" s="147" t="s">
        <v>436</v>
      </c>
      <c r="C296" s="147" t="s">
        <v>435</v>
      </c>
      <c r="D296" s="147" t="s">
        <v>335</v>
      </c>
      <c r="E296" s="147"/>
      <c r="F296" s="155">
        <f>F297</f>
        <v>2000</v>
      </c>
      <c r="G296" s="155">
        <f t="shared" si="13"/>
        <v>2000</v>
      </c>
      <c r="H296" s="158"/>
    </row>
    <row r="297" spans="1:8" ht="24">
      <c r="A297" s="153" t="s">
        <v>1066</v>
      </c>
      <c r="B297" s="147" t="s">
        <v>436</v>
      </c>
      <c r="C297" s="147" t="s">
        <v>435</v>
      </c>
      <c r="D297" s="147" t="s">
        <v>335</v>
      </c>
      <c r="E297" s="147" t="s">
        <v>529</v>
      </c>
      <c r="F297" s="155">
        <f>F298</f>
        <v>2000</v>
      </c>
      <c r="G297" s="155">
        <f t="shared" si="13"/>
        <v>2000</v>
      </c>
      <c r="H297" s="158"/>
    </row>
    <row r="298" spans="1:8" ht="24">
      <c r="A298" s="153" t="s">
        <v>591</v>
      </c>
      <c r="B298" s="147" t="s">
        <v>436</v>
      </c>
      <c r="C298" s="147" t="s">
        <v>435</v>
      </c>
      <c r="D298" s="147" t="s">
        <v>335</v>
      </c>
      <c r="E298" s="147" t="s">
        <v>429</v>
      </c>
      <c r="F298" s="158">
        <f>1500+500</f>
        <v>2000</v>
      </c>
      <c r="G298" s="155">
        <f t="shared" si="13"/>
        <v>2000</v>
      </c>
      <c r="H298" s="158"/>
    </row>
    <row r="299" spans="1:8" ht="48">
      <c r="A299" s="153" t="s">
        <v>1295</v>
      </c>
      <c r="B299" s="147" t="s">
        <v>436</v>
      </c>
      <c r="C299" s="147" t="s">
        <v>435</v>
      </c>
      <c r="D299" s="147" t="s">
        <v>337</v>
      </c>
      <c r="E299" s="147"/>
      <c r="F299" s="155">
        <f>F300+F304</f>
        <v>1349.1</v>
      </c>
      <c r="G299" s="155">
        <f t="shared" si="13"/>
        <v>1349.1</v>
      </c>
      <c r="H299" s="155"/>
    </row>
    <row r="300" spans="1:8" ht="48">
      <c r="A300" s="153" t="s">
        <v>1459</v>
      </c>
      <c r="B300" s="147" t="s">
        <v>436</v>
      </c>
      <c r="C300" s="147" t="s">
        <v>435</v>
      </c>
      <c r="D300" s="147" t="s">
        <v>338</v>
      </c>
      <c r="E300" s="147"/>
      <c r="F300" s="155">
        <f>F301</f>
        <v>400</v>
      </c>
      <c r="G300" s="155">
        <f>F300</f>
        <v>400</v>
      </c>
      <c r="H300" s="155"/>
    </row>
    <row r="301" spans="1:8" ht="54" customHeight="1">
      <c r="A301" s="153" t="s">
        <v>336</v>
      </c>
      <c r="B301" s="147" t="s">
        <v>436</v>
      </c>
      <c r="C301" s="147" t="s">
        <v>435</v>
      </c>
      <c r="D301" s="147" t="s">
        <v>339</v>
      </c>
      <c r="E301" s="147"/>
      <c r="F301" s="155">
        <f>F302</f>
        <v>400</v>
      </c>
      <c r="G301" s="155">
        <f>F301</f>
        <v>400</v>
      </c>
      <c r="H301" s="155"/>
    </row>
    <row r="302" spans="1:8" ht="24">
      <c r="A302" s="153" t="s">
        <v>1066</v>
      </c>
      <c r="B302" s="147" t="s">
        <v>436</v>
      </c>
      <c r="C302" s="147" t="s">
        <v>435</v>
      </c>
      <c r="D302" s="147" t="s">
        <v>339</v>
      </c>
      <c r="E302" s="147" t="s">
        <v>529</v>
      </c>
      <c r="F302" s="155">
        <f>F303</f>
        <v>400</v>
      </c>
      <c r="G302" s="155">
        <f t="shared" si="13"/>
        <v>400</v>
      </c>
      <c r="H302" s="155"/>
    </row>
    <row r="303" spans="1:8" ht="24">
      <c r="A303" s="153" t="s">
        <v>591</v>
      </c>
      <c r="B303" s="147" t="s">
        <v>436</v>
      </c>
      <c r="C303" s="147" t="s">
        <v>435</v>
      </c>
      <c r="D303" s="147" t="s">
        <v>339</v>
      </c>
      <c r="E303" s="147" t="s">
        <v>429</v>
      </c>
      <c r="F303" s="158">
        <v>400</v>
      </c>
      <c r="G303" s="155">
        <f t="shared" si="13"/>
        <v>400</v>
      </c>
      <c r="H303" s="155"/>
    </row>
    <row r="304" spans="1:8" ht="36">
      <c r="A304" s="153" t="s">
        <v>1460</v>
      </c>
      <c r="B304" s="147" t="s">
        <v>436</v>
      </c>
      <c r="C304" s="147" t="s">
        <v>435</v>
      </c>
      <c r="D304" s="147" t="s">
        <v>1487</v>
      </c>
      <c r="E304" s="147"/>
      <c r="F304" s="279">
        <f>F305</f>
        <v>949.0999999999999</v>
      </c>
      <c r="G304" s="155">
        <f t="shared" si="13"/>
        <v>949.0999999999999</v>
      </c>
      <c r="H304" s="155"/>
    </row>
    <row r="305" spans="1:8" ht="24">
      <c r="A305" s="153" t="s">
        <v>1461</v>
      </c>
      <c r="B305" s="147" t="s">
        <v>436</v>
      </c>
      <c r="C305" s="147" t="s">
        <v>435</v>
      </c>
      <c r="D305" s="147" t="s">
        <v>1488</v>
      </c>
      <c r="E305" s="147"/>
      <c r="F305" s="279">
        <f>F306</f>
        <v>949.0999999999999</v>
      </c>
      <c r="G305" s="155">
        <f t="shared" si="13"/>
        <v>949.0999999999999</v>
      </c>
      <c r="H305" s="155"/>
    </row>
    <row r="306" spans="1:8" ht="24">
      <c r="A306" s="153" t="s">
        <v>1066</v>
      </c>
      <c r="B306" s="147" t="s">
        <v>436</v>
      </c>
      <c r="C306" s="147" t="s">
        <v>435</v>
      </c>
      <c r="D306" s="147" t="s">
        <v>1488</v>
      </c>
      <c r="E306" s="147" t="s">
        <v>680</v>
      </c>
      <c r="F306" s="279">
        <f>F307</f>
        <v>949.0999999999999</v>
      </c>
      <c r="G306" s="155">
        <f t="shared" si="13"/>
        <v>949.0999999999999</v>
      </c>
      <c r="H306" s="155"/>
    </row>
    <row r="307" spans="1:8" ht="24">
      <c r="A307" s="153" t="s">
        <v>591</v>
      </c>
      <c r="B307" s="147" t="s">
        <v>436</v>
      </c>
      <c r="C307" s="147" t="s">
        <v>435</v>
      </c>
      <c r="D307" s="147" t="s">
        <v>1488</v>
      </c>
      <c r="E307" s="147" t="s">
        <v>429</v>
      </c>
      <c r="F307" s="158">
        <f>1849.1-900</f>
        <v>949.0999999999999</v>
      </c>
      <c r="G307" s="155">
        <f t="shared" si="13"/>
        <v>949.0999999999999</v>
      </c>
      <c r="H307" s="155"/>
    </row>
    <row r="308" spans="1:8" ht="36">
      <c r="A308" s="156" t="s">
        <v>717</v>
      </c>
      <c r="B308" s="147" t="s">
        <v>436</v>
      </c>
      <c r="C308" s="147" t="s">
        <v>175</v>
      </c>
      <c r="D308" s="147"/>
      <c r="E308" s="147"/>
      <c r="F308" s="155">
        <f>F309</f>
        <v>36052.4</v>
      </c>
      <c r="G308" s="155">
        <f>F308-H308</f>
        <v>36052.4</v>
      </c>
      <c r="H308" s="155"/>
    </row>
    <row r="309" spans="1:8" ht="36">
      <c r="A309" s="160" t="s">
        <v>1276</v>
      </c>
      <c r="B309" s="147" t="s">
        <v>436</v>
      </c>
      <c r="C309" s="147" t="s">
        <v>175</v>
      </c>
      <c r="D309" s="147" t="s">
        <v>193</v>
      </c>
      <c r="E309" s="147"/>
      <c r="F309" s="155">
        <f>F310+F324</f>
        <v>36052.4</v>
      </c>
      <c r="G309" s="155">
        <f>F309-H309</f>
        <v>36052.4</v>
      </c>
      <c r="H309" s="155"/>
    </row>
    <row r="310" spans="1:8" ht="36">
      <c r="A310" s="152" t="s">
        <v>1296</v>
      </c>
      <c r="B310" s="147" t="s">
        <v>436</v>
      </c>
      <c r="C310" s="147" t="s">
        <v>175</v>
      </c>
      <c r="D310" s="147" t="s">
        <v>340</v>
      </c>
      <c r="E310" s="147"/>
      <c r="F310" s="155">
        <f>F311+F318</f>
        <v>13085</v>
      </c>
      <c r="G310" s="155">
        <f t="shared" si="13"/>
        <v>13085</v>
      </c>
      <c r="H310" s="155"/>
    </row>
    <row r="311" spans="1:8" ht="24">
      <c r="A311" s="152" t="s">
        <v>1462</v>
      </c>
      <c r="B311" s="147" t="s">
        <v>436</v>
      </c>
      <c r="C311" s="147" t="s">
        <v>175</v>
      </c>
      <c r="D311" s="147" t="s">
        <v>341</v>
      </c>
      <c r="E311" s="147"/>
      <c r="F311" s="155">
        <f>F312+F315</f>
        <v>5103</v>
      </c>
      <c r="G311" s="155">
        <f>G312+G315</f>
        <v>5103</v>
      </c>
      <c r="H311" s="155">
        <f>H312+H315</f>
        <v>0</v>
      </c>
    </row>
    <row r="312" spans="1:8" ht="24">
      <c r="A312" s="152" t="s">
        <v>202</v>
      </c>
      <c r="B312" s="147" t="s">
        <v>436</v>
      </c>
      <c r="C312" s="147" t="s">
        <v>175</v>
      </c>
      <c r="D312" s="147" t="s">
        <v>342</v>
      </c>
      <c r="E312" s="147"/>
      <c r="F312" s="155">
        <f>F313</f>
        <v>2700</v>
      </c>
      <c r="G312" s="155">
        <f t="shared" si="13"/>
        <v>2700</v>
      </c>
      <c r="H312" s="155"/>
    </row>
    <row r="313" spans="1:8" ht="24">
      <c r="A313" s="153" t="s">
        <v>1066</v>
      </c>
      <c r="B313" s="147" t="s">
        <v>436</v>
      </c>
      <c r="C313" s="147" t="s">
        <v>175</v>
      </c>
      <c r="D313" s="147" t="s">
        <v>342</v>
      </c>
      <c r="E313" s="147" t="s">
        <v>529</v>
      </c>
      <c r="F313" s="155">
        <f>F314</f>
        <v>2700</v>
      </c>
      <c r="G313" s="155">
        <f t="shared" si="13"/>
        <v>2700</v>
      </c>
      <c r="H313" s="155"/>
    </row>
    <row r="314" spans="1:8" ht="24">
      <c r="A314" s="153" t="s">
        <v>974</v>
      </c>
      <c r="B314" s="147" t="s">
        <v>436</v>
      </c>
      <c r="C314" s="147" t="s">
        <v>175</v>
      </c>
      <c r="D314" s="147" t="s">
        <v>342</v>
      </c>
      <c r="E314" s="147" t="s">
        <v>429</v>
      </c>
      <c r="F314" s="158">
        <f>900+1400+400</f>
        <v>2700</v>
      </c>
      <c r="G314" s="155">
        <f t="shared" si="13"/>
        <v>2700</v>
      </c>
      <c r="H314" s="158"/>
    </row>
    <row r="315" spans="1:8" ht="60">
      <c r="A315" s="153" t="s">
        <v>1637</v>
      </c>
      <c r="B315" s="147" t="s">
        <v>436</v>
      </c>
      <c r="C315" s="147" t="s">
        <v>175</v>
      </c>
      <c r="D315" s="147" t="s">
        <v>1638</v>
      </c>
      <c r="E315" s="147"/>
      <c r="F315" s="279">
        <f>F316</f>
        <v>2403</v>
      </c>
      <c r="G315" s="155">
        <f t="shared" si="13"/>
        <v>2403</v>
      </c>
      <c r="H315" s="158"/>
    </row>
    <row r="316" spans="1:8" ht="24">
      <c r="A316" s="153" t="s">
        <v>1066</v>
      </c>
      <c r="B316" s="147" t="s">
        <v>436</v>
      </c>
      <c r="C316" s="147" t="s">
        <v>175</v>
      </c>
      <c r="D316" s="147" t="s">
        <v>1638</v>
      </c>
      <c r="E316" s="147" t="s">
        <v>529</v>
      </c>
      <c r="F316" s="279">
        <f>F317</f>
        <v>2403</v>
      </c>
      <c r="G316" s="155">
        <f t="shared" si="13"/>
        <v>2403</v>
      </c>
      <c r="H316" s="158"/>
    </row>
    <row r="317" spans="1:8" ht="24">
      <c r="A317" s="153" t="s">
        <v>974</v>
      </c>
      <c r="B317" s="147" t="s">
        <v>436</v>
      </c>
      <c r="C317" s="147" t="s">
        <v>175</v>
      </c>
      <c r="D317" s="147" t="s">
        <v>1638</v>
      </c>
      <c r="E317" s="147" t="s">
        <v>429</v>
      </c>
      <c r="F317" s="158">
        <v>2403</v>
      </c>
      <c r="G317" s="155">
        <f t="shared" si="13"/>
        <v>2403</v>
      </c>
      <c r="H317" s="158"/>
    </row>
    <row r="318" spans="1:8" ht="36">
      <c r="A318" s="153" t="s">
        <v>1465</v>
      </c>
      <c r="B318" s="147" t="s">
        <v>436</v>
      </c>
      <c r="C318" s="147" t="s">
        <v>175</v>
      </c>
      <c r="D318" s="147" t="s">
        <v>1463</v>
      </c>
      <c r="E318" s="147"/>
      <c r="F318" s="279">
        <f>F319</f>
        <v>7982</v>
      </c>
      <c r="G318" s="155">
        <f t="shared" si="13"/>
        <v>7982</v>
      </c>
      <c r="H318" s="158"/>
    </row>
    <row r="319" spans="1:8" ht="24">
      <c r="A319" s="152" t="s">
        <v>202</v>
      </c>
      <c r="B319" s="147" t="s">
        <v>436</v>
      </c>
      <c r="C319" s="147" t="s">
        <v>175</v>
      </c>
      <c r="D319" s="147" t="s">
        <v>1464</v>
      </c>
      <c r="E319" s="147"/>
      <c r="F319" s="279">
        <f>F320+F322</f>
        <v>7982</v>
      </c>
      <c r="G319" s="155">
        <f t="shared" si="13"/>
        <v>7982</v>
      </c>
      <c r="H319" s="158"/>
    </row>
    <row r="320" spans="1:8" ht="24">
      <c r="A320" s="153" t="s">
        <v>1066</v>
      </c>
      <c r="B320" s="147" t="s">
        <v>436</v>
      </c>
      <c r="C320" s="147" t="s">
        <v>175</v>
      </c>
      <c r="D320" s="147" t="s">
        <v>1464</v>
      </c>
      <c r="E320" s="147" t="s">
        <v>529</v>
      </c>
      <c r="F320" s="279">
        <f>F321</f>
        <v>7882</v>
      </c>
      <c r="G320" s="155">
        <f t="shared" si="13"/>
        <v>7882</v>
      </c>
      <c r="H320" s="158"/>
    </row>
    <row r="321" spans="1:8" ht="24">
      <c r="A321" s="153" t="s">
        <v>974</v>
      </c>
      <c r="B321" s="147" t="s">
        <v>436</v>
      </c>
      <c r="C321" s="147" t="s">
        <v>175</v>
      </c>
      <c r="D321" s="147" t="s">
        <v>1464</v>
      </c>
      <c r="E321" s="147" t="s">
        <v>429</v>
      </c>
      <c r="F321" s="158">
        <f>580+100+7202</f>
        <v>7882</v>
      </c>
      <c r="G321" s="155">
        <f t="shared" si="13"/>
        <v>7882</v>
      </c>
      <c r="H321" s="158"/>
    </row>
    <row r="322" spans="1:8" ht="24">
      <c r="A322" s="153" t="s">
        <v>985</v>
      </c>
      <c r="B322" s="147" t="s">
        <v>436</v>
      </c>
      <c r="C322" s="147" t="s">
        <v>175</v>
      </c>
      <c r="D322" s="147" t="s">
        <v>1464</v>
      </c>
      <c r="E322" s="147" t="s">
        <v>986</v>
      </c>
      <c r="F322" s="155">
        <f>F323</f>
        <v>100</v>
      </c>
      <c r="G322" s="155">
        <f t="shared" si="13"/>
        <v>100</v>
      </c>
      <c r="H322" s="158"/>
    </row>
    <row r="323" spans="1:8" ht="24">
      <c r="A323" s="157" t="s">
        <v>987</v>
      </c>
      <c r="B323" s="147" t="s">
        <v>436</v>
      </c>
      <c r="C323" s="147" t="s">
        <v>175</v>
      </c>
      <c r="D323" s="147" t="s">
        <v>1464</v>
      </c>
      <c r="E323" s="147" t="s">
        <v>988</v>
      </c>
      <c r="F323" s="158">
        <v>100</v>
      </c>
      <c r="G323" s="155">
        <f t="shared" si="13"/>
        <v>100</v>
      </c>
      <c r="H323" s="158"/>
    </row>
    <row r="324" spans="1:8" ht="48">
      <c r="A324" s="15" t="s">
        <v>1297</v>
      </c>
      <c r="B324" s="147" t="s">
        <v>436</v>
      </c>
      <c r="C324" s="147" t="s">
        <v>175</v>
      </c>
      <c r="D324" s="147" t="s">
        <v>203</v>
      </c>
      <c r="E324" s="147"/>
      <c r="F324" s="155">
        <f>F325+F329+F333+F339+F343+F347+F351+F355</f>
        <v>22967.4</v>
      </c>
      <c r="G324" s="155">
        <f t="shared" si="13"/>
        <v>22967.4</v>
      </c>
      <c r="H324" s="155"/>
    </row>
    <row r="325" spans="1:8" ht="60">
      <c r="A325" s="15" t="s">
        <v>1466</v>
      </c>
      <c r="B325" s="147" t="s">
        <v>436</v>
      </c>
      <c r="C325" s="147" t="s">
        <v>175</v>
      </c>
      <c r="D325" s="147" t="s">
        <v>204</v>
      </c>
      <c r="E325" s="147"/>
      <c r="F325" s="155">
        <f>F326</f>
        <v>1404</v>
      </c>
      <c r="G325" s="155">
        <f t="shared" si="13"/>
        <v>1404</v>
      </c>
      <c r="H325" s="155"/>
    </row>
    <row r="326" spans="1:8" ht="48">
      <c r="A326" s="15" t="s">
        <v>1468</v>
      </c>
      <c r="B326" s="147" t="s">
        <v>436</v>
      </c>
      <c r="C326" s="147" t="s">
        <v>175</v>
      </c>
      <c r="D326" s="147" t="s">
        <v>1467</v>
      </c>
      <c r="E326" s="147"/>
      <c r="F326" s="155">
        <f>F327</f>
        <v>1404</v>
      </c>
      <c r="G326" s="155">
        <f t="shared" si="13"/>
        <v>1404</v>
      </c>
      <c r="H326" s="155"/>
    </row>
    <row r="327" spans="1:8" ht="24">
      <c r="A327" s="153" t="s">
        <v>1066</v>
      </c>
      <c r="B327" s="147" t="s">
        <v>436</v>
      </c>
      <c r="C327" s="147" t="s">
        <v>175</v>
      </c>
      <c r="D327" s="147" t="s">
        <v>1467</v>
      </c>
      <c r="E327" s="147" t="s">
        <v>529</v>
      </c>
      <c r="F327" s="155">
        <f>F328</f>
        <v>1404</v>
      </c>
      <c r="G327" s="155">
        <f t="shared" si="13"/>
        <v>1404</v>
      </c>
      <c r="H327" s="155"/>
    </row>
    <row r="328" spans="1:8" ht="24">
      <c r="A328" s="153" t="s">
        <v>591</v>
      </c>
      <c r="B328" s="147" t="s">
        <v>436</v>
      </c>
      <c r="C328" s="147" t="s">
        <v>175</v>
      </c>
      <c r="D328" s="147" t="s">
        <v>1467</v>
      </c>
      <c r="E328" s="147" t="s">
        <v>429</v>
      </c>
      <c r="F328" s="158">
        <f>485+919</f>
        <v>1404</v>
      </c>
      <c r="G328" s="155">
        <f t="shared" si="13"/>
        <v>1404</v>
      </c>
      <c r="H328" s="158"/>
    </row>
    <row r="329" spans="1:8" ht="36">
      <c r="A329" s="153" t="s">
        <v>1469</v>
      </c>
      <c r="B329" s="147" t="s">
        <v>436</v>
      </c>
      <c r="C329" s="147" t="s">
        <v>175</v>
      </c>
      <c r="D329" s="253" t="s">
        <v>207</v>
      </c>
      <c r="E329" s="147"/>
      <c r="F329" s="155">
        <f>F330</f>
        <v>1310</v>
      </c>
      <c r="G329" s="155">
        <f t="shared" si="13"/>
        <v>1310</v>
      </c>
      <c r="H329" s="158"/>
    </row>
    <row r="330" spans="1:8" ht="24">
      <c r="A330" s="153" t="s">
        <v>205</v>
      </c>
      <c r="B330" s="147" t="s">
        <v>436</v>
      </c>
      <c r="C330" s="147" t="s">
        <v>175</v>
      </c>
      <c r="D330" s="147" t="s">
        <v>206</v>
      </c>
      <c r="E330" s="147"/>
      <c r="F330" s="155">
        <f>F331</f>
        <v>1310</v>
      </c>
      <c r="G330" s="155">
        <f t="shared" si="13"/>
        <v>1310</v>
      </c>
      <c r="H330" s="158"/>
    </row>
    <row r="331" spans="1:8" ht="24">
      <c r="A331" s="153" t="s">
        <v>1066</v>
      </c>
      <c r="B331" s="147" t="s">
        <v>436</v>
      </c>
      <c r="C331" s="147" t="s">
        <v>175</v>
      </c>
      <c r="D331" s="147" t="s">
        <v>206</v>
      </c>
      <c r="E331" s="147" t="s">
        <v>529</v>
      </c>
      <c r="F331" s="155">
        <f>F332</f>
        <v>1310</v>
      </c>
      <c r="G331" s="155">
        <f t="shared" si="13"/>
        <v>1310</v>
      </c>
      <c r="H331" s="158"/>
    </row>
    <row r="332" spans="1:8" ht="24">
      <c r="A332" s="153" t="s">
        <v>591</v>
      </c>
      <c r="B332" s="147" t="s">
        <v>436</v>
      </c>
      <c r="C332" s="147" t="s">
        <v>175</v>
      </c>
      <c r="D332" s="147" t="s">
        <v>206</v>
      </c>
      <c r="E332" s="147" t="s">
        <v>429</v>
      </c>
      <c r="F332" s="158">
        <f>3300-1990</f>
        <v>1310</v>
      </c>
      <c r="G332" s="155">
        <f aca="true" t="shared" si="14" ref="G332:G358">F332-H332</f>
        <v>1310</v>
      </c>
      <c r="H332" s="158"/>
    </row>
    <row r="333" spans="1:8" ht="36">
      <c r="A333" s="153" t="s">
        <v>208</v>
      </c>
      <c r="B333" s="147" t="s">
        <v>436</v>
      </c>
      <c r="C333" s="147" t="s">
        <v>175</v>
      </c>
      <c r="D333" s="147" t="s">
        <v>209</v>
      </c>
      <c r="E333" s="147"/>
      <c r="F333" s="155">
        <f>F334</f>
        <v>3123</v>
      </c>
      <c r="G333" s="155">
        <f t="shared" si="14"/>
        <v>3123</v>
      </c>
      <c r="H333" s="158"/>
    </row>
    <row r="334" spans="1:8" ht="24">
      <c r="A334" s="153" t="s">
        <v>205</v>
      </c>
      <c r="B334" s="147" t="s">
        <v>436</v>
      </c>
      <c r="C334" s="147" t="s">
        <v>175</v>
      </c>
      <c r="D334" s="147" t="s">
        <v>210</v>
      </c>
      <c r="E334" s="147"/>
      <c r="F334" s="155">
        <f>F335+F337</f>
        <v>3123</v>
      </c>
      <c r="G334" s="155">
        <f t="shared" si="14"/>
        <v>3123</v>
      </c>
      <c r="H334" s="158"/>
    </row>
    <row r="335" spans="1:8" ht="24">
      <c r="A335" s="153" t="s">
        <v>1066</v>
      </c>
      <c r="B335" s="147" t="s">
        <v>436</v>
      </c>
      <c r="C335" s="147" t="s">
        <v>175</v>
      </c>
      <c r="D335" s="147" t="s">
        <v>210</v>
      </c>
      <c r="E335" s="147" t="s">
        <v>529</v>
      </c>
      <c r="F335" s="155">
        <f>F336</f>
        <v>23</v>
      </c>
      <c r="G335" s="155">
        <f t="shared" si="14"/>
        <v>23</v>
      </c>
      <c r="H335" s="158"/>
    </row>
    <row r="336" spans="1:8" ht="26.25" customHeight="1">
      <c r="A336" s="153" t="s">
        <v>591</v>
      </c>
      <c r="B336" s="147" t="s">
        <v>436</v>
      </c>
      <c r="C336" s="147" t="s">
        <v>175</v>
      </c>
      <c r="D336" s="147" t="s">
        <v>210</v>
      </c>
      <c r="E336" s="147" t="s">
        <v>429</v>
      </c>
      <c r="F336" s="158">
        <f>23</f>
        <v>23</v>
      </c>
      <c r="G336" s="155">
        <f t="shared" si="14"/>
        <v>23</v>
      </c>
      <c r="H336" s="158"/>
    </row>
    <row r="337" spans="1:8" ht="26.25" customHeight="1">
      <c r="A337" s="153" t="s">
        <v>985</v>
      </c>
      <c r="B337" s="147" t="s">
        <v>436</v>
      </c>
      <c r="C337" s="147" t="s">
        <v>175</v>
      </c>
      <c r="D337" s="147" t="s">
        <v>210</v>
      </c>
      <c r="E337" s="147" t="s">
        <v>986</v>
      </c>
      <c r="F337" s="279">
        <f>F338</f>
        <v>3100</v>
      </c>
      <c r="G337" s="155">
        <f t="shared" si="14"/>
        <v>3100</v>
      </c>
      <c r="H337" s="158"/>
    </row>
    <row r="338" spans="1:8" ht="24">
      <c r="A338" s="157" t="s">
        <v>987</v>
      </c>
      <c r="B338" s="147" t="s">
        <v>436</v>
      </c>
      <c r="C338" s="147" t="s">
        <v>175</v>
      </c>
      <c r="D338" s="147" t="s">
        <v>210</v>
      </c>
      <c r="E338" s="147" t="s">
        <v>988</v>
      </c>
      <c r="F338" s="158">
        <v>3100</v>
      </c>
      <c r="G338" s="155">
        <f t="shared" si="14"/>
        <v>3100</v>
      </c>
      <c r="H338" s="158"/>
    </row>
    <row r="339" spans="1:8" ht="36">
      <c r="A339" s="153" t="s">
        <v>1471</v>
      </c>
      <c r="B339" s="147" t="s">
        <v>436</v>
      </c>
      <c r="C339" s="147" t="s">
        <v>175</v>
      </c>
      <c r="D339" s="147" t="s">
        <v>1470</v>
      </c>
      <c r="E339" s="147"/>
      <c r="F339" s="279">
        <f>F340</f>
        <v>25</v>
      </c>
      <c r="G339" s="155">
        <f t="shared" si="14"/>
        <v>25</v>
      </c>
      <c r="H339" s="158"/>
    </row>
    <row r="340" spans="1:8" ht="27.75" customHeight="1">
      <c r="A340" s="153" t="s">
        <v>1472</v>
      </c>
      <c r="B340" s="147" t="s">
        <v>436</v>
      </c>
      <c r="C340" s="147" t="s">
        <v>175</v>
      </c>
      <c r="D340" s="147" t="s">
        <v>1475</v>
      </c>
      <c r="E340" s="147"/>
      <c r="F340" s="279">
        <f>F341</f>
        <v>25</v>
      </c>
      <c r="G340" s="155">
        <f t="shared" si="14"/>
        <v>25</v>
      </c>
      <c r="H340" s="158"/>
    </row>
    <row r="341" spans="1:8" ht="24">
      <c r="A341" s="153" t="s">
        <v>1066</v>
      </c>
      <c r="B341" s="147" t="s">
        <v>436</v>
      </c>
      <c r="C341" s="147" t="s">
        <v>175</v>
      </c>
      <c r="D341" s="147" t="s">
        <v>1475</v>
      </c>
      <c r="E341" s="147" t="s">
        <v>529</v>
      </c>
      <c r="F341" s="279">
        <f>F342</f>
        <v>25</v>
      </c>
      <c r="G341" s="155">
        <f t="shared" si="14"/>
        <v>25</v>
      </c>
      <c r="H341" s="158"/>
    </row>
    <row r="342" spans="1:8" ht="24">
      <c r="A342" s="153" t="s">
        <v>591</v>
      </c>
      <c r="B342" s="147" t="s">
        <v>436</v>
      </c>
      <c r="C342" s="147" t="s">
        <v>175</v>
      </c>
      <c r="D342" s="147" t="s">
        <v>1475</v>
      </c>
      <c r="E342" s="147" t="s">
        <v>429</v>
      </c>
      <c r="F342" s="158">
        <v>25</v>
      </c>
      <c r="G342" s="155">
        <f t="shared" si="14"/>
        <v>25</v>
      </c>
      <c r="H342" s="158"/>
    </row>
    <row r="343" spans="1:8" ht="60">
      <c r="A343" s="153" t="s">
        <v>1544</v>
      </c>
      <c r="B343" s="147" t="s">
        <v>436</v>
      </c>
      <c r="C343" s="147" t="s">
        <v>175</v>
      </c>
      <c r="D343" s="147" t="s">
        <v>1473</v>
      </c>
      <c r="E343" s="147"/>
      <c r="F343" s="279">
        <f>F344</f>
        <v>16750.4</v>
      </c>
      <c r="G343" s="155">
        <f t="shared" si="14"/>
        <v>16750.4</v>
      </c>
      <c r="H343" s="158"/>
    </row>
    <row r="344" spans="1:8" ht="24">
      <c r="A344" s="15" t="s">
        <v>201</v>
      </c>
      <c r="B344" s="147" t="s">
        <v>436</v>
      </c>
      <c r="C344" s="147" t="s">
        <v>175</v>
      </c>
      <c r="D344" s="147" t="s">
        <v>1474</v>
      </c>
      <c r="E344" s="147"/>
      <c r="F344" s="279">
        <f>F345</f>
        <v>16750.4</v>
      </c>
      <c r="G344" s="155">
        <f t="shared" si="14"/>
        <v>16750.4</v>
      </c>
      <c r="H344" s="158"/>
    </row>
    <row r="345" spans="1:8" ht="24">
      <c r="A345" s="153" t="s">
        <v>1066</v>
      </c>
      <c r="B345" s="147" t="s">
        <v>436</v>
      </c>
      <c r="C345" s="147" t="s">
        <v>175</v>
      </c>
      <c r="D345" s="147" t="s">
        <v>1474</v>
      </c>
      <c r="E345" s="147" t="s">
        <v>529</v>
      </c>
      <c r="F345" s="279">
        <f>F346</f>
        <v>16750.4</v>
      </c>
      <c r="G345" s="155">
        <f t="shared" si="14"/>
        <v>16750.4</v>
      </c>
      <c r="H345" s="158"/>
    </row>
    <row r="346" spans="1:8" ht="24">
      <c r="A346" s="153" t="s">
        <v>591</v>
      </c>
      <c r="B346" s="147" t="s">
        <v>436</v>
      </c>
      <c r="C346" s="147" t="s">
        <v>175</v>
      </c>
      <c r="D346" s="147" t="s">
        <v>1474</v>
      </c>
      <c r="E346" s="147" t="s">
        <v>429</v>
      </c>
      <c r="F346" s="158">
        <f>7214.4+1071+8465</f>
        <v>16750.4</v>
      </c>
      <c r="G346" s="155">
        <f t="shared" si="14"/>
        <v>16750.4</v>
      </c>
      <c r="H346" s="158"/>
    </row>
    <row r="347" spans="1:8" ht="60">
      <c r="A347" s="153" t="s">
        <v>1482</v>
      </c>
      <c r="B347" s="147" t="s">
        <v>436</v>
      </c>
      <c r="C347" s="147" t="s">
        <v>175</v>
      </c>
      <c r="D347" s="147" t="s">
        <v>1476</v>
      </c>
      <c r="E347" s="147"/>
      <c r="F347" s="279">
        <f>F348</f>
        <v>30</v>
      </c>
      <c r="G347" s="155">
        <f t="shared" si="14"/>
        <v>30</v>
      </c>
      <c r="H347" s="158"/>
    </row>
    <row r="348" spans="1:8" ht="36">
      <c r="A348" s="153" t="s">
        <v>1483</v>
      </c>
      <c r="B348" s="147" t="s">
        <v>436</v>
      </c>
      <c r="C348" s="147" t="s">
        <v>175</v>
      </c>
      <c r="D348" s="147" t="s">
        <v>1477</v>
      </c>
      <c r="E348" s="147"/>
      <c r="F348" s="279">
        <f>F349</f>
        <v>30</v>
      </c>
      <c r="G348" s="155">
        <f t="shared" si="14"/>
        <v>30</v>
      </c>
      <c r="H348" s="158"/>
    </row>
    <row r="349" spans="1:8" ht="24">
      <c r="A349" s="153" t="s">
        <v>1066</v>
      </c>
      <c r="B349" s="147" t="s">
        <v>436</v>
      </c>
      <c r="C349" s="147" t="s">
        <v>175</v>
      </c>
      <c r="D349" s="147" t="s">
        <v>1477</v>
      </c>
      <c r="E349" s="147" t="s">
        <v>529</v>
      </c>
      <c r="F349" s="279">
        <f>F350</f>
        <v>30</v>
      </c>
      <c r="G349" s="155">
        <f t="shared" si="14"/>
        <v>30</v>
      </c>
      <c r="H349" s="158"/>
    </row>
    <row r="350" spans="1:8" ht="24">
      <c r="A350" s="153" t="s">
        <v>591</v>
      </c>
      <c r="B350" s="147" t="s">
        <v>436</v>
      </c>
      <c r="C350" s="147" t="s">
        <v>175</v>
      </c>
      <c r="D350" s="147" t="s">
        <v>1477</v>
      </c>
      <c r="E350" s="147" t="s">
        <v>429</v>
      </c>
      <c r="F350" s="158">
        <v>30</v>
      </c>
      <c r="G350" s="155">
        <f t="shared" si="14"/>
        <v>30</v>
      </c>
      <c r="H350" s="158"/>
    </row>
    <row r="351" spans="1:8" ht="24">
      <c r="A351" s="153" t="s">
        <v>1484</v>
      </c>
      <c r="B351" s="147" t="s">
        <v>436</v>
      </c>
      <c r="C351" s="147" t="s">
        <v>175</v>
      </c>
      <c r="D351" s="147" t="s">
        <v>1478</v>
      </c>
      <c r="E351" s="147"/>
      <c r="F351" s="279">
        <f>F352</f>
        <v>300</v>
      </c>
      <c r="G351" s="155">
        <f t="shared" si="14"/>
        <v>300</v>
      </c>
      <c r="H351" s="158"/>
    </row>
    <row r="352" spans="1:8" ht="24">
      <c r="A352" s="153" t="s">
        <v>1485</v>
      </c>
      <c r="B352" s="147" t="s">
        <v>436</v>
      </c>
      <c r="C352" s="147" t="s">
        <v>175</v>
      </c>
      <c r="D352" s="147" t="s">
        <v>1479</v>
      </c>
      <c r="E352" s="147"/>
      <c r="F352" s="279">
        <f>F353</f>
        <v>300</v>
      </c>
      <c r="G352" s="155">
        <f t="shared" si="14"/>
        <v>300</v>
      </c>
      <c r="H352" s="158"/>
    </row>
    <row r="353" spans="1:8" ht="24">
      <c r="A353" s="153" t="s">
        <v>1066</v>
      </c>
      <c r="B353" s="147" t="s">
        <v>436</v>
      </c>
      <c r="C353" s="147" t="s">
        <v>175</v>
      </c>
      <c r="D353" s="147" t="s">
        <v>1479</v>
      </c>
      <c r="E353" s="147" t="s">
        <v>529</v>
      </c>
      <c r="F353" s="279">
        <f>F354</f>
        <v>300</v>
      </c>
      <c r="G353" s="155">
        <f t="shared" si="14"/>
        <v>300</v>
      </c>
      <c r="H353" s="158"/>
    </row>
    <row r="354" spans="1:8" ht="24">
      <c r="A354" s="153" t="s">
        <v>591</v>
      </c>
      <c r="B354" s="147" t="s">
        <v>436</v>
      </c>
      <c r="C354" s="147" t="s">
        <v>175</v>
      </c>
      <c r="D354" s="147" t="s">
        <v>1479</v>
      </c>
      <c r="E354" s="147" t="s">
        <v>429</v>
      </c>
      <c r="F354" s="158">
        <v>300</v>
      </c>
      <c r="G354" s="155">
        <f t="shared" si="14"/>
        <v>300</v>
      </c>
      <c r="H354" s="158"/>
    </row>
    <row r="355" spans="1:8" ht="36">
      <c r="A355" s="153" t="s">
        <v>1486</v>
      </c>
      <c r="B355" s="147" t="s">
        <v>436</v>
      </c>
      <c r="C355" s="147" t="s">
        <v>175</v>
      </c>
      <c r="D355" s="147" t="s">
        <v>1480</v>
      </c>
      <c r="E355" s="147"/>
      <c r="F355" s="279">
        <f>F356</f>
        <v>25</v>
      </c>
      <c r="G355" s="155">
        <f t="shared" si="14"/>
        <v>25</v>
      </c>
      <c r="H355" s="158"/>
    </row>
    <row r="356" spans="1:8" ht="24">
      <c r="A356" s="153" t="s">
        <v>1485</v>
      </c>
      <c r="B356" s="147" t="s">
        <v>436</v>
      </c>
      <c r="C356" s="147" t="s">
        <v>175</v>
      </c>
      <c r="D356" s="147" t="s">
        <v>1481</v>
      </c>
      <c r="E356" s="147"/>
      <c r="F356" s="279">
        <f>F357</f>
        <v>25</v>
      </c>
      <c r="G356" s="155">
        <f t="shared" si="14"/>
        <v>25</v>
      </c>
      <c r="H356" s="158"/>
    </row>
    <row r="357" spans="1:8" ht="24">
      <c r="A357" s="153" t="s">
        <v>1066</v>
      </c>
      <c r="B357" s="147" t="s">
        <v>436</v>
      </c>
      <c r="C357" s="147" t="s">
        <v>175</v>
      </c>
      <c r="D357" s="147" t="s">
        <v>1481</v>
      </c>
      <c r="E357" s="147" t="s">
        <v>529</v>
      </c>
      <c r="F357" s="279">
        <f>F358</f>
        <v>25</v>
      </c>
      <c r="G357" s="155">
        <f t="shared" si="14"/>
        <v>25</v>
      </c>
      <c r="H357" s="158"/>
    </row>
    <row r="358" spans="1:8" ht="24">
      <c r="A358" s="153" t="s">
        <v>591</v>
      </c>
      <c r="B358" s="147" t="s">
        <v>436</v>
      </c>
      <c r="C358" s="147" t="s">
        <v>175</v>
      </c>
      <c r="D358" s="147" t="s">
        <v>1481</v>
      </c>
      <c r="E358" s="147" t="s">
        <v>429</v>
      </c>
      <c r="F358" s="158">
        <v>25</v>
      </c>
      <c r="G358" s="155">
        <f t="shared" si="14"/>
        <v>25</v>
      </c>
      <c r="H358" s="158"/>
    </row>
    <row r="359" spans="1:8" ht="15.75">
      <c r="A359" s="166" t="s">
        <v>939</v>
      </c>
      <c r="B359" s="168" t="s">
        <v>936</v>
      </c>
      <c r="C359" s="168"/>
      <c r="D359" s="169"/>
      <c r="E359" s="169"/>
      <c r="F359" s="1">
        <f>F360+F367+F385+F416+F472</f>
        <v>578306.2999999999</v>
      </c>
      <c r="G359" s="1">
        <f>G360+G367+G385+G416+G472</f>
        <v>575604.2999999999</v>
      </c>
      <c r="H359" s="1">
        <f aca="true" t="shared" si="15" ref="H359:H365">H360</f>
        <v>2702</v>
      </c>
    </row>
    <row r="360" spans="1:8" ht="15.75">
      <c r="A360" s="156" t="s">
        <v>1776</v>
      </c>
      <c r="B360" s="213" t="s">
        <v>936</v>
      </c>
      <c r="C360" s="213" t="s">
        <v>432</v>
      </c>
      <c r="D360" s="169"/>
      <c r="E360" s="169"/>
      <c r="F360" s="1">
        <f>F361</f>
        <v>2702</v>
      </c>
      <c r="G360" s="1">
        <f>G361</f>
        <v>0</v>
      </c>
      <c r="H360" s="1">
        <f t="shared" si="15"/>
        <v>2702</v>
      </c>
    </row>
    <row r="361" spans="1:8" ht="36">
      <c r="A361" s="164" t="s">
        <v>1350</v>
      </c>
      <c r="B361" s="147" t="s">
        <v>936</v>
      </c>
      <c r="C361" s="147" t="s">
        <v>432</v>
      </c>
      <c r="D361" s="147" t="s">
        <v>41</v>
      </c>
      <c r="E361" s="169"/>
      <c r="F361" s="1">
        <f>F362</f>
        <v>2702</v>
      </c>
      <c r="G361" s="1">
        <f>G362</f>
        <v>0</v>
      </c>
      <c r="H361" s="1">
        <f t="shared" si="15"/>
        <v>2702</v>
      </c>
    </row>
    <row r="362" spans="1:8" ht="48">
      <c r="A362" s="330" t="s">
        <v>1784</v>
      </c>
      <c r="B362" s="147" t="s">
        <v>936</v>
      </c>
      <c r="C362" s="147" t="s">
        <v>432</v>
      </c>
      <c r="D362" s="147" t="s">
        <v>1783</v>
      </c>
      <c r="E362" s="170"/>
      <c r="F362" s="155">
        <f>F365</f>
        <v>2702</v>
      </c>
      <c r="G362" s="155"/>
      <c r="H362" s="155">
        <f t="shared" si="15"/>
        <v>2702</v>
      </c>
    </row>
    <row r="363" spans="1:8" ht="72">
      <c r="A363" s="326" t="s">
        <v>1782</v>
      </c>
      <c r="B363" s="147" t="s">
        <v>936</v>
      </c>
      <c r="C363" s="147" t="s">
        <v>432</v>
      </c>
      <c r="D363" s="147" t="s">
        <v>1785</v>
      </c>
      <c r="E363" s="170"/>
      <c r="F363" s="155">
        <f>F364</f>
        <v>2702</v>
      </c>
      <c r="G363" s="155"/>
      <c r="H363" s="155">
        <f t="shared" si="15"/>
        <v>2702</v>
      </c>
    </row>
    <row r="364" spans="1:8" ht="48">
      <c r="A364" s="153" t="s">
        <v>1659</v>
      </c>
      <c r="B364" s="147" t="s">
        <v>936</v>
      </c>
      <c r="C364" s="147" t="s">
        <v>432</v>
      </c>
      <c r="D364" s="147" t="s">
        <v>1786</v>
      </c>
      <c r="E364" s="147"/>
      <c r="F364" s="325">
        <f>F365</f>
        <v>2702</v>
      </c>
      <c r="G364" s="155"/>
      <c r="H364" s="325">
        <f t="shared" si="15"/>
        <v>2702</v>
      </c>
    </row>
    <row r="365" spans="1:8" ht="24">
      <c r="A365" s="153" t="s">
        <v>1066</v>
      </c>
      <c r="B365" s="147" t="s">
        <v>936</v>
      </c>
      <c r="C365" s="147" t="s">
        <v>432</v>
      </c>
      <c r="D365" s="147" t="s">
        <v>1786</v>
      </c>
      <c r="E365" s="147" t="s">
        <v>529</v>
      </c>
      <c r="F365" s="325">
        <f>F366</f>
        <v>2702</v>
      </c>
      <c r="G365" s="155">
        <f>F365-H365</f>
        <v>0</v>
      </c>
      <c r="H365" s="325">
        <f t="shared" si="15"/>
        <v>2702</v>
      </c>
    </row>
    <row r="366" spans="1:8" ht="24">
      <c r="A366" s="153" t="s">
        <v>974</v>
      </c>
      <c r="B366" s="147" t="s">
        <v>936</v>
      </c>
      <c r="C366" s="147" t="s">
        <v>432</v>
      </c>
      <c r="D366" s="147" t="s">
        <v>1786</v>
      </c>
      <c r="E366" s="147" t="s">
        <v>429</v>
      </c>
      <c r="F366" s="161">
        <v>2702</v>
      </c>
      <c r="G366" s="155">
        <f>F366-H366</f>
        <v>0</v>
      </c>
      <c r="H366" s="325">
        <v>2702</v>
      </c>
    </row>
    <row r="367" spans="1:8" ht="15">
      <c r="A367" s="156" t="s">
        <v>528</v>
      </c>
      <c r="B367" s="147" t="s">
        <v>936</v>
      </c>
      <c r="C367" s="147" t="s">
        <v>1170</v>
      </c>
      <c r="D367" s="147"/>
      <c r="E367" s="147"/>
      <c r="F367" s="155">
        <f>F380+F368</f>
        <v>60645</v>
      </c>
      <c r="G367" s="155">
        <f>F367-H367</f>
        <v>60645</v>
      </c>
      <c r="H367" s="155">
        <f>H368</f>
        <v>0</v>
      </c>
    </row>
    <row r="368" spans="1:8" ht="36">
      <c r="A368" s="164" t="s">
        <v>1279</v>
      </c>
      <c r="B368" s="147" t="s">
        <v>936</v>
      </c>
      <c r="C368" s="147" t="s">
        <v>1170</v>
      </c>
      <c r="D368" s="147" t="s">
        <v>137</v>
      </c>
      <c r="E368" s="147"/>
      <c r="F368" s="155">
        <f>F369</f>
        <v>600</v>
      </c>
      <c r="G368" s="155">
        <f>G369</f>
        <v>600</v>
      </c>
      <c r="H368" s="158">
        <f>H374</f>
        <v>0</v>
      </c>
    </row>
    <row r="369" spans="1:8" ht="36">
      <c r="A369" s="153" t="s">
        <v>1298</v>
      </c>
      <c r="B369" s="147" t="s">
        <v>936</v>
      </c>
      <c r="C369" s="147" t="s">
        <v>1170</v>
      </c>
      <c r="D369" s="147" t="s">
        <v>243</v>
      </c>
      <c r="E369" s="147"/>
      <c r="F369" s="155">
        <f>F371+F374</f>
        <v>600</v>
      </c>
      <c r="G369" s="155">
        <f>G371+G374</f>
        <v>600</v>
      </c>
      <c r="H369" s="158"/>
    </row>
    <row r="370" spans="1:8" ht="36">
      <c r="A370" s="153" t="s">
        <v>1489</v>
      </c>
      <c r="B370" s="147" t="s">
        <v>936</v>
      </c>
      <c r="C370" s="147" t="s">
        <v>1170</v>
      </c>
      <c r="D370" s="147" t="s">
        <v>218</v>
      </c>
      <c r="E370" s="147"/>
      <c r="F370" s="155">
        <f>F371+F374</f>
        <v>600</v>
      </c>
      <c r="G370" s="155">
        <f>G371+G374</f>
        <v>600</v>
      </c>
      <c r="H370" s="158"/>
    </row>
    <row r="371" spans="1:8" ht="60">
      <c r="A371" s="157" t="s">
        <v>663</v>
      </c>
      <c r="B371" s="147" t="s">
        <v>936</v>
      </c>
      <c r="C371" s="147" t="s">
        <v>1170</v>
      </c>
      <c r="D371" s="147" t="s">
        <v>244</v>
      </c>
      <c r="E371" s="147"/>
      <c r="F371" s="155">
        <f>F372</f>
        <v>57</v>
      </c>
      <c r="G371" s="155">
        <f>G373</f>
        <v>57</v>
      </c>
      <c r="H371" s="158"/>
    </row>
    <row r="372" spans="1:8" ht="24">
      <c r="A372" s="153" t="s">
        <v>1066</v>
      </c>
      <c r="B372" s="147" t="s">
        <v>936</v>
      </c>
      <c r="C372" s="147" t="s">
        <v>1170</v>
      </c>
      <c r="D372" s="147" t="s">
        <v>244</v>
      </c>
      <c r="E372" s="147" t="s">
        <v>529</v>
      </c>
      <c r="F372" s="155">
        <f>F373</f>
        <v>57</v>
      </c>
      <c r="G372" s="155">
        <f>F372-H372</f>
        <v>57</v>
      </c>
      <c r="H372" s="158"/>
    </row>
    <row r="373" spans="1:8" ht="24">
      <c r="A373" s="153" t="s">
        <v>591</v>
      </c>
      <c r="B373" s="147" t="s">
        <v>936</v>
      </c>
      <c r="C373" s="147" t="s">
        <v>1170</v>
      </c>
      <c r="D373" s="147" t="s">
        <v>244</v>
      </c>
      <c r="E373" s="147" t="s">
        <v>429</v>
      </c>
      <c r="F373" s="158">
        <v>57</v>
      </c>
      <c r="G373" s="155">
        <f>F373-H373</f>
        <v>57</v>
      </c>
      <c r="H373" s="158"/>
    </row>
    <row r="374" spans="1:8" ht="72">
      <c r="A374" s="157" t="s">
        <v>901</v>
      </c>
      <c r="B374" s="147" t="s">
        <v>936</v>
      </c>
      <c r="C374" s="147" t="s">
        <v>1170</v>
      </c>
      <c r="D374" s="147" t="s">
        <v>245</v>
      </c>
      <c r="E374" s="147"/>
      <c r="F374" s="155">
        <f aca="true" t="shared" si="16" ref="F374:H375">F375</f>
        <v>543</v>
      </c>
      <c r="G374" s="155">
        <f t="shared" si="16"/>
        <v>543</v>
      </c>
      <c r="H374" s="158">
        <f t="shared" si="16"/>
        <v>0</v>
      </c>
    </row>
    <row r="375" spans="1:8" ht="24">
      <c r="A375" s="153" t="s">
        <v>1066</v>
      </c>
      <c r="B375" s="147" t="s">
        <v>936</v>
      </c>
      <c r="C375" s="147" t="s">
        <v>1170</v>
      </c>
      <c r="D375" s="147" t="s">
        <v>245</v>
      </c>
      <c r="E375" s="147" t="s">
        <v>529</v>
      </c>
      <c r="F375" s="155">
        <f t="shared" si="16"/>
        <v>543</v>
      </c>
      <c r="G375" s="155">
        <f t="shared" si="16"/>
        <v>543</v>
      </c>
      <c r="H375" s="158">
        <f t="shared" si="16"/>
        <v>0</v>
      </c>
    </row>
    <row r="376" spans="1:8" ht="24">
      <c r="A376" s="153" t="s">
        <v>974</v>
      </c>
      <c r="B376" s="147" t="s">
        <v>936</v>
      </c>
      <c r="C376" s="147" t="s">
        <v>1170</v>
      </c>
      <c r="D376" s="147" t="s">
        <v>245</v>
      </c>
      <c r="E376" s="147" t="s">
        <v>429</v>
      </c>
      <c r="F376" s="158">
        <v>543</v>
      </c>
      <c r="G376" s="155">
        <f>F376</f>
        <v>543</v>
      </c>
      <c r="H376" s="158"/>
    </row>
    <row r="377" spans="1:8" ht="48">
      <c r="A377" s="164" t="s">
        <v>1299</v>
      </c>
      <c r="B377" s="147" t="s">
        <v>936</v>
      </c>
      <c r="C377" s="147" t="s">
        <v>1170</v>
      </c>
      <c r="D377" s="147" t="s">
        <v>212</v>
      </c>
      <c r="E377" s="147"/>
      <c r="F377" s="155">
        <f>F378</f>
        <v>60045</v>
      </c>
      <c r="G377" s="155">
        <f>F377-H377</f>
        <v>60045</v>
      </c>
      <c r="H377" s="155"/>
    </row>
    <row r="378" spans="1:8" ht="48">
      <c r="A378" s="152" t="s">
        <v>1300</v>
      </c>
      <c r="B378" s="147" t="s">
        <v>936</v>
      </c>
      <c r="C378" s="147" t="s">
        <v>1170</v>
      </c>
      <c r="D378" s="147" t="s">
        <v>213</v>
      </c>
      <c r="E378" s="147"/>
      <c r="F378" s="155">
        <f>F380</f>
        <v>60045</v>
      </c>
      <c r="G378" s="155">
        <f>F378-H378</f>
        <v>60045</v>
      </c>
      <c r="H378" s="155"/>
    </row>
    <row r="379" spans="1:8" ht="60">
      <c r="A379" s="152" t="s">
        <v>211</v>
      </c>
      <c r="B379" s="147" t="s">
        <v>936</v>
      </c>
      <c r="C379" s="147" t="s">
        <v>1170</v>
      </c>
      <c r="D379" s="147" t="s">
        <v>214</v>
      </c>
      <c r="E379" s="147"/>
      <c r="F379" s="155">
        <f>F380</f>
        <v>60045</v>
      </c>
      <c r="G379" s="155">
        <f>G380</f>
        <v>60045</v>
      </c>
      <c r="H379" s="155"/>
    </row>
    <row r="380" spans="1:8" ht="60">
      <c r="A380" s="152" t="s">
        <v>215</v>
      </c>
      <c r="B380" s="147" t="s">
        <v>936</v>
      </c>
      <c r="C380" s="147" t="s">
        <v>1170</v>
      </c>
      <c r="D380" s="147" t="s">
        <v>216</v>
      </c>
      <c r="E380" s="147"/>
      <c r="F380" s="155">
        <f>F381+F383</f>
        <v>60045</v>
      </c>
      <c r="G380" s="155">
        <f>F380-H380</f>
        <v>60045</v>
      </c>
      <c r="H380" s="155"/>
    </row>
    <row r="381" spans="1:8" ht="24">
      <c r="A381" s="153" t="s">
        <v>1066</v>
      </c>
      <c r="B381" s="147" t="s">
        <v>936</v>
      </c>
      <c r="C381" s="147" t="s">
        <v>1170</v>
      </c>
      <c r="D381" s="147" t="s">
        <v>216</v>
      </c>
      <c r="E381" s="147" t="s">
        <v>529</v>
      </c>
      <c r="F381" s="155">
        <f>F382</f>
        <v>60045</v>
      </c>
      <c r="G381" s="155">
        <f>F381</f>
        <v>60045</v>
      </c>
      <c r="H381" s="155"/>
    </row>
    <row r="382" spans="1:8" ht="24">
      <c r="A382" s="153" t="s">
        <v>591</v>
      </c>
      <c r="B382" s="147" t="s">
        <v>936</v>
      </c>
      <c r="C382" s="147" t="s">
        <v>1170</v>
      </c>
      <c r="D382" s="147" t="s">
        <v>216</v>
      </c>
      <c r="E382" s="147" t="s">
        <v>429</v>
      </c>
      <c r="F382" s="158">
        <f>39087.1+3919.9+16938+100</f>
        <v>60045</v>
      </c>
      <c r="G382" s="155">
        <f aca="true" t="shared" si="17" ref="G382:G387">F382-H382</f>
        <v>60045</v>
      </c>
      <c r="H382" s="158"/>
    </row>
    <row r="383" spans="1:8" ht="24">
      <c r="A383" s="153" t="s">
        <v>985</v>
      </c>
      <c r="B383" s="147" t="s">
        <v>936</v>
      </c>
      <c r="C383" s="147" t="s">
        <v>1170</v>
      </c>
      <c r="D383" s="147" t="s">
        <v>216</v>
      </c>
      <c r="E383" s="147" t="s">
        <v>986</v>
      </c>
      <c r="F383" s="155">
        <f>F384</f>
        <v>0</v>
      </c>
      <c r="G383" s="155">
        <f t="shared" si="17"/>
        <v>0</v>
      </c>
      <c r="H383" s="158"/>
    </row>
    <row r="384" spans="1:8" ht="48">
      <c r="A384" s="152" t="s">
        <v>555</v>
      </c>
      <c r="B384" s="147" t="s">
        <v>936</v>
      </c>
      <c r="C384" s="147" t="s">
        <v>1170</v>
      </c>
      <c r="D384" s="147" t="s">
        <v>216</v>
      </c>
      <c r="E384" s="147" t="s">
        <v>556</v>
      </c>
      <c r="F384" s="158">
        <f>7482.9-3919.9+272.2-3835.2</f>
        <v>0</v>
      </c>
      <c r="G384" s="155">
        <f t="shared" si="17"/>
        <v>0</v>
      </c>
      <c r="H384" s="158"/>
    </row>
    <row r="385" spans="1:8" ht="24">
      <c r="A385" s="162" t="s">
        <v>1153</v>
      </c>
      <c r="B385" s="147" t="s">
        <v>936</v>
      </c>
      <c r="C385" s="147" t="s">
        <v>435</v>
      </c>
      <c r="D385" s="147"/>
      <c r="E385" s="147"/>
      <c r="F385" s="155">
        <f>F386+F412</f>
        <v>453992.5</v>
      </c>
      <c r="G385" s="155">
        <f t="shared" si="17"/>
        <v>453992.5</v>
      </c>
      <c r="H385" s="158"/>
    </row>
    <row r="386" spans="1:8" ht="48">
      <c r="A386" s="164" t="s">
        <v>1301</v>
      </c>
      <c r="B386" s="147" t="s">
        <v>936</v>
      </c>
      <c r="C386" s="147" t="s">
        <v>435</v>
      </c>
      <c r="D386" s="147" t="s">
        <v>212</v>
      </c>
      <c r="E386" s="147"/>
      <c r="F386" s="155">
        <f>F387+F392+F407</f>
        <v>450992.5</v>
      </c>
      <c r="G386" s="155">
        <f t="shared" si="17"/>
        <v>450992.5</v>
      </c>
      <c r="H386" s="158"/>
    </row>
    <row r="387" spans="1:8" ht="48">
      <c r="A387" s="15" t="s">
        <v>1302</v>
      </c>
      <c r="B387" s="147" t="s">
        <v>936</v>
      </c>
      <c r="C387" s="147" t="s">
        <v>435</v>
      </c>
      <c r="D387" s="147" t="s">
        <v>246</v>
      </c>
      <c r="E387" s="147"/>
      <c r="F387" s="155">
        <f>F390</f>
        <v>30903</v>
      </c>
      <c r="G387" s="155">
        <f t="shared" si="17"/>
        <v>30903</v>
      </c>
      <c r="H387" s="158"/>
    </row>
    <row r="388" spans="1:8" ht="24">
      <c r="A388" s="15" t="s">
        <v>248</v>
      </c>
      <c r="B388" s="147" t="s">
        <v>936</v>
      </c>
      <c r="C388" s="147" t="s">
        <v>435</v>
      </c>
      <c r="D388" s="147" t="s">
        <v>247</v>
      </c>
      <c r="E388" s="147"/>
      <c r="F388" s="155">
        <f>F389</f>
        <v>30903</v>
      </c>
      <c r="G388" s="155">
        <f>G389</f>
        <v>30903</v>
      </c>
      <c r="H388" s="158"/>
    </row>
    <row r="389" spans="1:8" ht="24">
      <c r="A389" s="15" t="s">
        <v>249</v>
      </c>
      <c r="B389" s="147" t="s">
        <v>936</v>
      </c>
      <c r="C389" s="147" t="s">
        <v>435</v>
      </c>
      <c r="D389" s="147" t="s">
        <v>250</v>
      </c>
      <c r="E389" s="147"/>
      <c r="F389" s="155">
        <f>F390</f>
        <v>30903</v>
      </c>
      <c r="G389" s="155">
        <f>G390</f>
        <v>30903</v>
      </c>
      <c r="H389" s="158"/>
    </row>
    <row r="390" spans="1:8" ht="24">
      <c r="A390" s="153" t="s">
        <v>1066</v>
      </c>
      <c r="B390" s="147" t="s">
        <v>936</v>
      </c>
      <c r="C390" s="147" t="s">
        <v>435</v>
      </c>
      <c r="D390" s="147" t="s">
        <v>250</v>
      </c>
      <c r="E390" s="147" t="s">
        <v>529</v>
      </c>
      <c r="F390" s="155">
        <f>F391</f>
        <v>30903</v>
      </c>
      <c r="G390" s="155">
        <f>F390-H390</f>
        <v>30903</v>
      </c>
      <c r="H390" s="158"/>
    </row>
    <row r="391" spans="1:10" ht="24">
      <c r="A391" s="153" t="s">
        <v>974</v>
      </c>
      <c r="B391" s="147" t="s">
        <v>936</v>
      </c>
      <c r="C391" s="147" t="s">
        <v>435</v>
      </c>
      <c r="D391" s="147" t="s">
        <v>250</v>
      </c>
      <c r="E391" s="147" t="s">
        <v>429</v>
      </c>
      <c r="F391" s="158">
        <f>11700+14300+1250+1223+330+2100</f>
        <v>30903</v>
      </c>
      <c r="G391" s="155">
        <f>F391-H391</f>
        <v>30903</v>
      </c>
      <c r="H391" s="158"/>
      <c r="I391" s="10">
        <f>29945+272.2</f>
        <v>30217.2</v>
      </c>
      <c r="J391" s="14">
        <f>F382-I391</f>
        <v>29827.8</v>
      </c>
    </row>
    <row r="392" spans="1:8" ht="60">
      <c r="A392" s="152" t="s">
        <v>1303</v>
      </c>
      <c r="B392" s="147" t="s">
        <v>936</v>
      </c>
      <c r="C392" s="147" t="s">
        <v>435</v>
      </c>
      <c r="D392" s="147" t="s">
        <v>253</v>
      </c>
      <c r="E392" s="147"/>
      <c r="F392" s="155">
        <f>F393+F403</f>
        <v>409487.6</v>
      </c>
      <c r="G392" s="155">
        <f>F392-H392</f>
        <v>409487.6</v>
      </c>
      <c r="H392" s="158"/>
    </row>
    <row r="393" spans="1:8" ht="36">
      <c r="A393" s="152" t="s">
        <v>251</v>
      </c>
      <c r="B393" s="147" t="s">
        <v>936</v>
      </c>
      <c r="C393" s="147" t="s">
        <v>435</v>
      </c>
      <c r="D393" s="147" t="s">
        <v>254</v>
      </c>
      <c r="E393" s="147"/>
      <c r="F393" s="155">
        <f>F394+F397+F400</f>
        <v>286487.6</v>
      </c>
      <c r="G393" s="155">
        <f>G394+G397+G400</f>
        <v>286487.6</v>
      </c>
      <c r="H393" s="155">
        <f>H394+H397+H400</f>
        <v>0</v>
      </c>
    </row>
    <row r="394" spans="1:8" ht="36">
      <c r="A394" s="152" t="s">
        <v>252</v>
      </c>
      <c r="B394" s="147" t="s">
        <v>936</v>
      </c>
      <c r="C394" s="147" t="s">
        <v>435</v>
      </c>
      <c r="D394" s="147" t="s">
        <v>255</v>
      </c>
      <c r="E394" s="147"/>
      <c r="F394" s="155">
        <f>F395</f>
        <v>239391.6</v>
      </c>
      <c r="G394" s="155">
        <f>F394</f>
        <v>239391.6</v>
      </c>
      <c r="H394" s="158"/>
    </row>
    <row r="395" spans="1:8" ht="24">
      <c r="A395" s="153" t="s">
        <v>1066</v>
      </c>
      <c r="B395" s="147" t="s">
        <v>936</v>
      </c>
      <c r="C395" s="147" t="s">
        <v>435</v>
      </c>
      <c r="D395" s="147" t="s">
        <v>255</v>
      </c>
      <c r="E395" s="147" t="s">
        <v>529</v>
      </c>
      <c r="F395" s="155">
        <f>F396</f>
        <v>239391.6</v>
      </c>
      <c r="G395" s="155">
        <f>F395-H395</f>
        <v>239391.6</v>
      </c>
      <c r="H395" s="158"/>
    </row>
    <row r="396" spans="1:8" ht="24">
      <c r="A396" s="153" t="s">
        <v>591</v>
      </c>
      <c r="B396" s="147" t="s">
        <v>936</v>
      </c>
      <c r="C396" s="147" t="s">
        <v>435</v>
      </c>
      <c r="D396" s="147" t="s">
        <v>255</v>
      </c>
      <c r="E396" s="147" t="s">
        <v>429</v>
      </c>
      <c r="F396" s="158">
        <f>204638+4000-2152.4-500+2424+30982</f>
        <v>239391.6</v>
      </c>
      <c r="G396" s="155">
        <f>F396-H396</f>
        <v>239391.6</v>
      </c>
      <c r="H396" s="158"/>
    </row>
    <row r="397" spans="1:8" ht="72">
      <c r="A397" s="157" t="s">
        <v>409</v>
      </c>
      <c r="B397" s="147" t="s">
        <v>936</v>
      </c>
      <c r="C397" s="147" t="s">
        <v>435</v>
      </c>
      <c r="D397" s="147" t="s">
        <v>302</v>
      </c>
      <c r="E397" s="147"/>
      <c r="F397" s="279">
        <f>F398</f>
        <v>18608</v>
      </c>
      <c r="G397" s="155">
        <f aca="true" t="shared" si="18" ref="G397:G402">F397</f>
        <v>18608</v>
      </c>
      <c r="H397" s="158"/>
    </row>
    <row r="398" spans="1:8" ht="24">
      <c r="A398" s="153" t="s">
        <v>1066</v>
      </c>
      <c r="B398" s="147" t="s">
        <v>936</v>
      </c>
      <c r="C398" s="147" t="s">
        <v>435</v>
      </c>
      <c r="D398" s="147" t="s">
        <v>302</v>
      </c>
      <c r="E398" s="147" t="s">
        <v>529</v>
      </c>
      <c r="F398" s="279">
        <f>F399</f>
        <v>18608</v>
      </c>
      <c r="G398" s="155">
        <f t="shared" si="18"/>
        <v>18608</v>
      </c>
      <c r="H398" s="158"/>
    </row>
    <row r="399" spans="1:8" ht="24">
      <c r="A399" s="153" t="s">
        <v>591</v>
      </c>
      <c r="B399" s="147" t="s">
        <v>936</v>
      </c>
      <c r="C399" s="147" t="s">
        <v>435</v>
      </c>
      <c r="D399" s="147" t="s">
        <v>302</v>
      </c>
      <c r="E399" s="147" t="s">
        <v>429</v>
      </c>
      <c r="F399" s="158">
        <f>13108+5500</f>
        <v>18608</v>
      </c>
      <c r="G399" s="155">
        <f t="shared" si="18"/>
        <v>18608</v>
      </c>
      <c r="H399" s="158"/>
    </row>
    <row r="400" spans="1:8" ht="72">
      <c r="A400" s="153" t="s">
        <v>1639</v>
      </c>
      <c r="B400" s="147" t="s">
        <v>936</v>
      </c>
      <c r="C400" s="147" t="s">
        <v>435</v>
      </c>
      <c r="D400" s="147" t="s">
        <v>1215</v>
      </c>
      <c r="E400" s="147"/>
      <c r="F400" s="279">
        <f>F401</f>
        <v>28488</v>
      </c>
      <c r="G400" s="155">
        <f t="shared" si="18"/>
        <v>28488</v>
      </c>
      <c r="H400" s="158"/>
    </row>
    <row r="401" spans="1:8" ht="24">
      <c r="A401" s="153" t="s">
        <v>1066</v>
      </c>
      <c r="B401" s="147" t="s">
        <v>936</v>
      </c>
      <c r="C401" s="147" t="s">
        <v>435</v>
      </c>
      <c r="D401" s="147" t="s">
        <v>1215</v>
      </c>
      <c r="E401" s="147" t="s">
        <v>529</v>
      </c>
      <c r="F401" s="279">
        <f>F402</f>
        <v>28488</v>
      </c>
      <c r="G401" s="155">
        <f t="shared" si="18"/>
        <v>28488</v>
      </c>
      <c r="H401" s="158"/>
    </row>
    <row r="402" spans="1:8" ht="24">
      <c r="A402" s="153" t="s">
        <v>591</v>
      </c>
      <c r="B402" s="147" t="s">
        <v>936</v>
      </c>
      <c r="C402" s="147" t="s">
        <v>435</v>
      </c>
      <c r="D402" s="147" t="s">
        <v>1215</v>
      </c>
      <c r="E402" s="147" t="s">
        <v>429</v>
      </c>
      <c r="F402" s="158">
        <f>19000+9488</f>
        <v>28488</v>
      </c>
      <c r="G402" s="155">
        <f t="shared" si="18"/>
        <v>28488</v>
      </c>
      <c r="H402" s="158"/>
    </row>
    <row r="403" spans="1:8" ht="24">
      <c r="A403" s="153" t="s">
        <v>256</v>
      </c>
      <c r="B403" s="147" t="s">
        <v>936</v>
      </c>
      <c r="C403" s="147" t="s">
        <v>435</v>
      </c>
      <c r="D403" s="147" t="s">
        <v>258</v>
      </c>
      <c r="E403" s="147"/>
      <c r="F403" s="155">
        <f aca="true" t="shared" si="19" ref="F403:G405">F404</f>
        <v>123000</v>
      </c>
      <c r="G403" s="155">
        <f t="shared" si="19"/>
        <v>123000</v>
      </c>
      <c r="H403" s="158"/>
    </row>
    <row r="404" spans="1:8" ht="24">
      <c r="A404" s="153" t="s">
        <v>257</v>
      </c>
      <c r="B404" s="147" t="s">
        <v>936</v>
      </c>
      <c r="C404" s="147" t="s">
        <v>435</v>
      </c>
      <c r="D404" s="147" t="s">
        <v>259</v>
      </c>
      <c r="E404" s="147"/>
      <c r="F404" s="155">
        <f t="shared" si="19"/>
        <v>123000</v>
      </c>
      <c r="G404" s="155">
        <f t="shared" si="19"/>
        <v>123000</v>
      </c>
      <c r="H404" s="158"/>
    </row>
    <row r="405" spans="1:9" ht="36">
      <c r="A405" s="152" t="s">
        <v>490</v>
      </c>
      <c r="B405" s="147" t="s">
        <v>936</v>
      </c>
      <c r="C405" s="147" t="s">
        <v>435</v>
      </c>
      <c r="D405" s="147" t="s">
        <v>259</v>
      </c>
      <c r="E405" s="147" t="s">
        <v>489</v>
      </c>
      <c r="F405" s="155">
        <f t="shared" si="19"/>
        <v>123000</v>
      </c>
      <c r="G405" s="155">
        <f t="shared" si="19"/>
        <v>123000</v>
      </c>
      <c r="H405" s="158"/>
      <c r="I405" s="10">
        <f>1072.6+3366.9+31958.3+7704.9+4179+5489.9+386.4+78000</f>
        <v>132158</v>
      </c>
    </row>
    <row r="406" spans="1:8" ht="24">
      <c r="A406" s="157" t="s">
        <v>573</v>
      </c>
      <c r="B406" s="147" t="s">
        <v>936</v>
      </c>
      <c r="C406" s="147" t="s">
        <v>435</v>
      </c>
      <c r="D406" s="147" t="s">
        <v>259</v>
      </c>
      <c r="E406" s="147" t="s">
        <v>574</v>
      </c>
      <c r="F406" s="158">
        <f>128500-500-5000</f>
        <v>123000</v>
      </c>
      <c r="G406" s="155">
        <f>F406</f>
        <v>123000</v>
      </c>
      <c r="H406" s="158"/>
    </row>
    <row r="407" spans="1:8" ht="72">
      <c r="A407" s="157" t="s">
        <v>1304</v>
      </c>
      <c r="B407" s="147" t="s">
        <v>936</v>
      </c>
      <c r="C407" s="147" t="s">
        <v>435</v>
      </c>
      <c r="D407" s="147" t="s">
        <v>267</v>
      </c>
      <c r="E407" s="147"/>
      <c r="F407" s="155">
        <f aca="true" t="shared" si="20" ref="F407:G410">F408</f>
        <v>10601.9</v>
      </c>
      <c r="G407" s="155">
        <f t="shared" si="20"/>
        <v>10601.9</v>
      </c>
      <c r="H407" s="158"/>
    </row>
    <row r="408" spans="1:8" ht="48">
      <c r="A408" s="157" t="s">
        <v>265</v>
      </c>
      <c r="B408" s="147" t="s">
        <v>936</v>
      </c>
      <c r="C408" s="147" t="s">
        <v>435</v>
      </c>
      <c r="D408" s="147" t="s">
        <v>268</v>
      </c>
      <c r="E408" s="147"/>
      <c r="F408" s="155">
        <f t="shared" si="20"/>
        <v>10601.9</v>
      </c>
      <c r="G408" s="155">
        <f t="shared" si="20"/>
        <v>10601.9</v>
      </c>
      <c r="H408" s="158"/>
    </row>
    <row r="409" spans="1:8" ht="48">
      <c r="A409" s="157" t="s">
        <v>266</v>
      </c>
      <c r="B409" s="147" t="s">
        <v>936</v>
      </c>
      <c r="C409" s="147" t="s">
        <v>435</v>
      </c>
      <c r="D409" s="147" t="s">
        <v>1181</v>
      </c>
      <c r="E409" s="147"/>
      <c r="F409" s="155">
        <f t="shared" si="20"/>
        <v>10601.9</v>
      </c>
      <c r="G409" s="155">
        <f t="shared" si="20"/>
        <v>10601.9</v>
      </c>
      <c r="H409" s="158"/>
    </row>
    <row r="410" spans="1:8" ht="24">
      <c r="A410" s="153" t="s">
        <v>1066</v>
      </c>
      <c r="B410" s="147" t="s">
        <v>936</v>
      </c>
      <c r="C410" s="147" t="s">
        <v>435</v>
      </c>
      <c r="D410" s="147" t="s">
        <v>1181</v>
      </c>
      <c r="E410" s="147" t="s">
        <v>529</v>
      </c>
      <c r="F410" s="155">
        <f t="shared" si="20"/>
        <v>10601.9</v>
      </c>
      <c r="G410" s="155">
        <f t="shared" si="20"/>
        <v>10601.9</v>
      </c>
      <c r="H410" s="158"/>
    </row>
    <row r="411" spans="1:8" ht="24">
      <c r="A411" s="153" t="s">
        <v>591</v>
      </c>
      <c r="B411" s="147" t="s">
        <v>936</v>
      </c>
      <c r="C411" s="147" t="s">
        <v>435</v>
      </c>
      <c r="D411" s="147" t="s">
        <v>1181</v>
      </c>
      <c r="E411" s="147" t="s">
        <v>429</v>
      </c>
      <c r="F411" s="158">
        <f>8449.5+2152.4</f>
        <v>10601.9</v>
      </c>
      <c r="G411" s="155">
        <f aca="true" t="shared" si="21" ref="G411:G416">F411-H411</f>
        <v>10601.9</v>
      </c>
      <c r="H411" s="158"/>
    </row>
    <row r="412" spans="1:8" ht="36">
      <c r="A412" s="153" t="s">
        <v>1078</v>
      </c>
      <c r="B412" s="147" t="s">
        <v>936</v>
      </c>
      <c r="C412" s="147" t="s">
        <v>435</v>
      </c>
      <c r="D412" s="147" t="s">
        <v>1079</v>
      </c>
      <c r="E412" s="147"/>
      <c r="F412" s="279">
        <f>F413</f>
        <v>3000</v>
      </c>
      <c r="G412" s="155">
        <f t="shared" si="21"/>
        <v>3000</v>
      </c>
      <c r="H412" s="158"/>
    </row>
    <row r="413" spans="1:8" ht="24">
      <c r="A413" s="153" t="s">
        <v>1066</v>
      </c>
      <c r="B413" s="147" t="s">
        <v>936</v>
      </c>
      <c r="C413" s="147" t="s">
        <v>435</v>
      </c>
      <c r="D413" s="147" t="s">
        <v>1079</v>
      </c>
      <c r="E413" s="147" t="s">
        <v>529</v>
      </c>
      <c r="F413" s="279">
        <f>F414</f>
        <v>3000</v>
      </c>
      <c r="G413" s="155">
        <f t="shared" si="21"/>
        <v>3000</v>
      </c>
      <c r="H413" s="158"/>
    </row>
    <row r="414" spans="1:8" ht="24">
      <c r="A414" s="153" t="s">
        <v>591</v>
      </c>
      <c r="B414" s="147" t="s">
        <v>936</v>
      </c>
      <c r="C414" s="147" t="s">
        <v>435</v>
      </c>
      <c r="D414" s="147" t="s">
        <v>1079</v>
      </c>
      <c r="E414" s="147" t="s">
        <v>429</v>
      </c>
      <c r="F414" s="279">
        <f>F415</f>
        <v>3000</v>
      </c>
      <c r="G414" s="155">
        <f t="shared" si="21"/>
        <v>3000</v>
      </c>
      <c r="H414" s="158"/>
    </row>
    <row r="415" spans="1:8" ht="48">
      <c r="A415" s="153" t="s">
        <v>1589</v>
      </c>
      <c r="B415" s="147" t="s">
        <v>936</v>
      </c>
      <c r="C415" s="147" t="s">
        <v>435</v>
      </c>
      <c r="D415" s="147" t="s">
        <v>1079</v>
      </c>
      <c r="E415" s="147" t="s">
        <v>429</v>
      </c>
      <c r="F415" s="158">
        <v>3000</v>
      </c>
      <c r="G415" s="155">
        <f t="shared" si="21"/>
        <v>3000</v>
      </c>
      <c r="H415" s="158"/>
    </row>
    <row r="416" spans="1:8" ht="15">
      <c r="A416" s="156" t="s">
        <v>940</v>
      </c>
      <c r="B416" s="147" t="s">
        <v>936</v>
      </c>
      <c r="C416" s="147" t="s">
        <v>433</v>
      </c>
      <c r="D416" s="147"/>
      <c r="E416" s="147"/>
      <c r="F416" s="155">
        <f>F417+F460</f>
        <v>48913.6</v>
      </c>
      <c r="G416" s="155">
        <f t="shared" si="21"/>
        <v>48913.6</v>
      </c>
      <c r="H416" s="155"/>
    </row>
    <row r="417" spans="1:8" ht="24">
      <c r="A417" s="160" t="s">
        <v>1268</v>
      </c>
      <c r="B417" s="147" t="s">
        <v>936</v>
      </c>
      <c r="C417" s="147" t="s">
        <v>433</v>
      </c>
      <c r="D417" s="147" t="s">
        <v>733</v>
      </c>
      <c r="E417" s="147"/>
      <c r="F417" s="155">
        <f>F418+F450</f>
        <v>25713.5</v>
      </c>
      <c r="G417" s="155">
        <f>G418+G450</f>
        <v>23784.3</v>
      </c>
      <c r="H417" s="155"/>
    </row>
    <row r="418" spans="1:8" ht="72">
      <c r="A418" s="152" t="s">
        <v>1495</v>
      </c>
      <c r="B418" s="147" t="s">
        <v>936</v>
      </c>
      <c r="C418" s="147" t="s">
        <v>433</v>
      </c>
      <c r="D418" s="147" t="s">
        <v>382</v>
      </c>
      <c r="E418" s="147"/>
      <c r="F418" s="155">
        <f>F419+F425+F429+F433+F437+F441</f>
        <v>21583.5</v>
      </c>
      <c r="G418" s="155">
        <f>G419+G425+G429+G433+G437</f>
        <v>21157.3</v>
      </c>
      <c r="H418" s="155"/>
    </row>
    <row r="419" spans="1:8" ht="60">
      <c r="A419" s="152" t="s">
        <v>1630</v>
      </c>
      <c r="B419" s="147" t="s">
        <v>936</v>
      </c>
      <c r="C419" s="147" t="s">
        <v>433</v>
      </c>
      <c r="D419" s="147" t="s">
        <v>383</v>
      </c>
      <c r="E419" s="147"/>
      <c r="F419" s="155">
        <f>F420</f>
        <v>17603.5</v>
      </c>
      <c r="G419" s="155">
        <f>G420</f>
        <v>17603.5</v>
      </c>
      <c r="H419" s="158"/>
    </row>
    <row r="420" spans="1:8" ht="24">
      <c r="A420" s="254" t="s">
        <v>664</v>
      </c>
      <c r="B420" s="147" t="s">
        <v>936</v>
      </c>
      <c r="C420" s="147" t="s">
        <v>433</v>
      </c>
      <c r="D420" s="147" t="s">
        <v>384</v>
      </c>
      <c r="E420" s="147"/>
      <c r="F420" s="155">
        <f>F421+F423</f>
        <v>17603.5</v>
      </c>
      <c r="G420" s="155">
        <f>G421+G423</f>
        <v>17603.5</v>
      </c>
      <c r="H420" s="158"/>
    </row>
    <row r="421" spans="1:8" ht="72">
      <c r="A421" s="153" t="s">
        <v>1065</v>
      </c>
      <c r="B421" s="147" t="s">
        <v>936</v>
      </c>
      <c r="C421" s="147" t="s">
        <v>433</v>
      </c>
      <c r="D421" s="147" t="s">
        <v>384</v>
      </c>
      <c r="E421" s="147" t="s">
        <v>960</v>
      </c>
      <c r="F421" s="155">
        <f>F422</f>
        <v>7164.2</v>
      </c>
      <c r="G421" s="155">
        <f aca="true" t="shared" si="22" ref="G421:G428">F421-H421</f>
        <v>7164.2</v>
      </c>
      <c r="H421" s="158"/>
    </row>
    <row r="422" spans="1:8" ht="24">
      <c r="A422" s="152" t="s">
        <v>1165</v>
      </c>
      <c r="B422" s="147" t="s">
        <v>936</v>
      </c>
      <c r="C422" s="147" t="s">
        <v>433</v>
      </c>
      <c r="D422" s="147" t="s">
        <v>384</v>
      </c>
      <c r="E422" s="147" t="s">
        <v>1166</v>
      </c>
      <c r="F422" s="158">
        <f>7474.9-310.7</f>
        <v>7164.2</v>
      </c>
      <c r="G422" s="155">
        <f t="shared" si="22"/>
        <v>7164.2</v>
      </c>
      <c r="H422" s="158"/>
    </row>
    <row r="423" spans="1:8" ht="24">
      <c r="A423" s="153" t="s">
        <v>1066</v>
      </c>
      <c r="B423" s="147" t="s">
        <v>936</v>
      </c>
      <c r="C423" s="147" t="s">
        <v>433</v>
      </c>
      <c r="D423" s="147" t="s">
        <v>384</v>
      </c>
      <c r="E423" s="147" t="s">
        <v>529</v>
      </c>
      <c r="F423" s="155">
        <f>F424</f>
        <v>10439.3</v>
      </c>
      <c r="G423" s="155">
        <f t="shared" si="22"/>
        <v>10439.3</v>
      </c>
      <c r="H423" s="158"/>
    </row>
    <row r="424" spans="1:8" ht="24">
      <c r="A424" s="153" t="s">
        <v>974</v>
      </c>
      <c r="B424" s="147" t="s">
        <v>936</v>
      </c>
      <c r="C424" s="147" t="s">
        <v>433</v>
      </c>
      <c r="D424" s="147" t="s">
        <v>384</v>
      </c>
      <c r="E424" s="147" t="s">
        <v>429</v>
      </c>
      <c r="F424" s="158">
        <f>148+7965.7-246.4+1850+142+430+150</f>
        <v>10439.3</v>
      </c>
      <c r="G424" s="155">
        <f t="shared" si="22"/>
        <v>10439.3</v>
      </c>
      <c r="H424" s="158"/>
    </row>
    <row r="425" spans="1:8" ht="72">
      <c r="A425" s="153" t="s">
        <v>1631</v>
      </c>
      <c r="B425" s="147" t="s">
        <v>936</v>
      </c>
      <c r="C425" s="147" t="s">
        <v>433</v>
      </c>
      <c r="D425" s="147" t="s">
        <v>386</v>
      </c>
      <c r="E425" s="147"/>
      <c r="F425" s="155">
        <f>F426</f>
        <v>9.3</v>
      </c>
      <c r="G425" s="155">
        <f t="shared" si="22"/>
        <v>9.3</v>
      </c>
      <c r="H425" s="158"/>
    </row>
    <row r="426" spans="1:8" ht="24">
      <c r="A426" s="254" t="s">
        <v>664</v>
      </c>
      <c r="B426" s="147" t="s">
        <v>936</v>
      </c>
      <c r="C426" s="147" t="s">
        <v>433</v>
      </c>
      <c r="D426" s="147" t="s">
        <v>387</v>
      </c>
      <c r="E426" s="147"/>
      <c r="F426" s="155">
        <f>F427</f>
        <v>9.3</v>
      </c>
      <c r="G426" s="155">
        <f t="shared" si="22"/>
        <v>9.3</v>
      </c>
      <c r="H426" s="158"/>
    </row>
    <row r="427" spans="1:8" ht="24">
      <c r="A427" s="153" t="s">
        <v>1066</v>
      </c>
      <c r="B427" s="147" t="s">
        <v>936</v>
      </c>
      <c r="C427" s="147" t="s">
        <v>433</v>
      </c>
      <c r="D427" s="147" t="s">
        <v>387</v>
      </c>
      <c r="E427" s="147" t="s">
        <v>529</v>
      </c>
      <c r="F427" s="155">
        <f>F428</f>
        <v>9.3</v>
      </c>
      <c r="G427" s="155">
        <f t="shared" si="22"/>
        <v>9.3</v>
      </c>
      <c r="H427" s="158"/>
    </row>
    <row r="428" spans="1:8" ht="54.75" customHeight="1">
      <c r="A428" s="153" t="s">
        <v>974</v>
      </c>
      <c r="B428" s="147" t="s">
        <v>936</v>
      </c>
      <c r="C428" s="147" t="s">
        <v>433</v>
      </c>
      <c r="D428" s="147" t="s">
        <v>387</v>
      </c>
      <c r="E428" s="147" t="s">
        <v>429</v>
      </c>
      <c r="F428" s="158">
        <v>9.3</v>
      </c>
      <c r="G428" s="155">
        <f t="shared" si="22"/>
        <v>9.3</v>
      </c>
      <c r="H428" s="158"/>
    </row>
    <row r="429" spans="1:8" ht="72">
      <c r="A429" s="153" t="s">
        <v>1632</v>
      </c>
      <c r="B429" s="147" t="s">
        <v>936</v>
      </c>
      <c r="C429" s="147" t="s">
        <v>433</v>
      </c>
      <c r="D429" s="147" t="s">
        <v>388</v>
      </c>
      <c r="E429" s="147"/>
      <c r="F429" s="155">
        <f aca="true" t="shared" si="23" ref="F429:G431">F430</f>
        <v>0</v>
      </c>
      <c r="G429" s="155">
        <f t="shared" si="23"/>
        <v>0</v>
      </c>
      <c r="H429" s="158"/>
    </row>
    <row r="430" spans="1:8" ht="24">
      <c r="A430" s="254" t="s">
        <v>664</v>
      </c>
      <c r="B430" s="147" t="s">
        <v>936</v>
      </c>
      <c r="C430" s="147" t="s">
        <v>433</v>
      </c>
      <c r="D430" s="147" t="s">
        <v>389</v>
      </c>
      <c r="E430" s="147"/>
      <c r="F430" s="155">
        <f t="shared" si="23"/>
        <v>0</v>
      </c>
      <c r="G430" s="155">
        <f t="shared" si="23"/>
        <v>0</v>
      </c>
      <c r="H430" s="158"/>
    </row>
    <row r="431" spans="1:8" ht="24">
      <c r="A431" s="153" t="s">
        <v>1066</v>
      </c>
      <c r="B431" s="147" t="s">
        <v>936</v>
      </c>
      <c r="C431" s="147" t="s">
        <v>433</v>
      </c>
      <c r="D431" s="147" t="s">
        <v>389</v>
      </c>
      <c r="E431" s="147" t="s">
        <v>529</v>
      </c>
      <c r="F431" s="155">
        <f t="shared" si="23"/>
        <v>0</v>
      </c>
      <c r="G431" s="155">
        <f t="shared" si="23"/>
        <v>0</v>
      </c>
      <c r="H431" s="158"/>
    </row>
    <row r="432" spans="1:8" ht="24">
      <c r="A432" s="153" t="s">
        <v>974</v>
      </c>
      <c r="B432" s="147" t="s">
        <v>936</v>
      </c>
      <c r="C432" s="147" t="s">
        <v>433</v>
      </c>
      <c r="D432" s="147" t="s">
        <v>389</v>
      </c>
      <c r="E432" s="147" t="s">
        <v>429</v>
      </c>
      <c r="F432" s="158">
        <f>552-552</f>
        <v>0</v>
      </c>
      <c r="G432" s="158">
        <f>F432</f>
        <v>0</v>
      </c>
      <c r="H432" s="158"/>
    </row>
    <row r="433" spans="1:8" ht="60">
      <c r="A433" s="152" t="s">
        <v>1634</v>
      </c>
      <c r="B433" s="147" t="s">
        <v>936</v>
      </c>
      <c r="C433" s="147" t="s">
        <v>433</v>
      </c>
      <c r="D433" s="147" t="s">
        <v>745</v>
      </c>
      <c r="E433" s="147"/>
      <c r="F433" s="155">
        <f aca="true" t="shared" si="24" ref="F433:G435">F434</f>
        <v>3544.5</v>
      </c>
      <c r="G433" s="155">
        <f t="shared" si="24"/>
        <v>3544.5</v>
      </c>
      <c r="H433" s="158"/>
    </row>
    <row r="434" spans="1:8" ht="24">
      <c r="A434" s="254" t="s">
        <v>664</v>
      </c>
      <c r="B434" s="147" t="s">
        <v>936</v>
      </c>
      <c r="C434" s="147" t="s">
        <v>433</v>
      </c>
      <c r="D434" s="147" t="s">
        <v>390</v>
      </c>
      <c r="E434" s="147"/>
      <c r="F434" s="155">
        <f t="shared" si="24"/>
        <v>3544.5</v>
      </c>
      <c r="G434" s="155">
        <f t="shared" si="24"/>
        <v>3544.5</v>
      </c>
      <c r="H434" s="158"/>
    </row>
    <row r="435" spans="1:8" ht="24">
      <c r="A435" s="153" t="s">
        <v>1066</v>
      </c>
      <c r="B435" s="147" t="s">
        <v>936</v>
      </c>
      <c r="C435" s="147" t="s">
        <v>433</v>
      </c>
      <c r="D435" s="147" t="s">
        <v>390</v>
      </c>
      <c r="E435" s="147" t="s">
        <v>529</v>
      </c>
      <c r="F435" s="155">
        <f t="shared" si="24"/>
        <v>3544.5</v>
      </c>
      <c r="G435" s="155">
        <f t="shared" si="24"/>
        <v>3544.5</v>
      </c>
      <c r="H435" s="158"/>
    </row>
    <row r="436" spans="1:8" ht="24">
      <c r="A436" s="153" t="s">
        <v>974</v>
      </c>
      <c r="B436" s="147" t="s">
        <v>936</v>
      </c>
      <c r="C436" s="147" t="s">
        <v>433</v>
      </c>
      <c r="D436" s="147" t="s">
        <v>390</v>
      </c>
      <c r="E436" s="147" t="s">
        <v>429</v>
      </c>
      <c r="F436" s="158">
        <f>2239.4+1305.1</f>
        <v>3544.5</v>
      </c>
      <c r="G436" s="158">
        <f>F436</f>
        <v>3544.5</v>
      </c>
      <c r="H436" s="158"/>
    </row>
    <row r="437" spans="1:8" ht="48">
      <c r="A437" s="153" t="s">
        <v>1496</v>
      </c>
      <c r="B437" s="147" t="s">
        <v>936</v>
      </c>
      <c r="C437" s="147" t="s">
        <v>433</v>
      </c>
      <c r="D437" s="147" t="s">
        <v>1110</v>
      </c>
      <c r="E437" s="147"/>
      <c r="F437" s="155">
        <f aca="true" t="shared" si="25" ref="F437:G439">F438</f>
        <v>0</v>
      </c>
      <c r="G437" s="155">
        <f t="shared" si="25"/>
        <v>0</v>
      </c>
      <c r="H437" s="158"/>
    </row>
    <row r="438" spans="1:8" ht="24">
      <c r="A438" s="254" t="s">
        <v>664</v>
      </c>
      <c r="B438" s="147" t="s">
        <v>936</v>
      </c>
      <c r="C438" s="147" t="s">
        <v>433</v>
      </c>
      <c r="D438" s="147" t="s">
        <v>1111</v>
      </c>
      <c r="E438" s="147"/>
      <c r="F438" s="155">
        <f t="shared" si="25"/>
        <v>0</v>
      </c>
      <c r="G438" s="155">
        <f t="shared" si="25"/>
        <v>0</v>
      </c>
      <c r="H438" s="158"/>
    </row>
    <row r="439" spans="1:8" ht="24">
      <c r="A439" s="153" t="s">
        <v>1066</v>
      </c>
      <c r="B439" s="147" t="s">
        <v>936</v>
      </c>
      <c r="C439" s="147" t="s">
        <v>433</v>
      </c>
      <c r="D439" s="147" t="s">
        <v>1111</v>
      </c>
      <c r="E439" s="147" t="s">
        <v>529</v>
      </c>
      <c r="F439" s="155">
        <f t="shared" si="25"/>
        <v>0</v>
      </c>
      <c r="G439" s="155">
        <f t="shared" si="25"/>
        <v>0</v>
      </c>
      <c r="H439" s="158"/>
    </row>
    <row r="440" spans="1:8" ht="24">
      <c r="A440" s="153" t="s">
        <v>974</v>
      </c>
      <c r="B440" s="147" t="s">
        <v>936</v>
      </c>
      <c r="C440" s="147" t="s">
        <v>433</v>
      </c>
      <c r="D440" s="147" t="s">
        <v>1111</v>
      </c>
      <c r="E440" s="147" t="s">
        <v>429</v>
      </c>
      <c r="F440" s="158">
        <f>520-520</f>
        <v>0</v>
      </c>
      <c r="G440" s="158">
        <f>F440</f>
        <v>0</v>
      </c>
      <c r="H440" s="158"/>
    </row>
    <row r="441" spans="1:8" ht="60">
      <c r="A441" s="153" t="s">
        <v>1640</v>
      </c>
      <c r="B441" s="147" t="s">
        <v>936</v>
      </c>
      <c r="C441" s="147" t="s">
        <v>433</v>
      </c>
      <c r="D441" s="147" t="s">
        <v>1641</v>
      </c>
      <c r="E441" s="147"/>
      <c r="F441" s="279">
        <f>F442+F446</f>
        <v>426.2</v>
      </c>
      <c r="G441" s="279">
        <f>G442</f>
        <v>404.9</v>
      </c>
      <c r="H441" s="158"/>
    </row>
    <row r="442" spans="1:8" ht="84">
      <c r="A442" s="153" t="s">
        <v>1642</v>
      </c>
      <c r="B442" s="147" t="s">
        <v>936</v>
      </c>
      <c r="C442" s="147" t="s">
        <v>433</v>
      </c>
      <c r="D442" s="147" t="s">
        <v>1643</v>
      </c>
      <c r="E442" s="147"/>
      <c r="F442" s="279">
        <f>F443</f>
        <v>404.9</v>
      </c>
      <c r="G442" s="279">
        <f>F442</f>
        <v>404.9</v>
      </c>
      <c r="H442" s="158"/>
    </row>
    <row r="443" spans="1:8" ht="36">
      <c r="A443" s="152" t="s">
        <v>490</v>
      </c>
      <c r="B443" s="147" t="s">
        <v>936</v>
      </c>
      <c r="C443" s="147" t="s">
        <v>433</v>
      </c>
      <c r="D443" s="147" t="s">
        <v>1643</v>
      </c>
      <c r="E443" s="147" t="s">
        <v>489</v>
      </c>
      <c r="F443" s="279">
        <f>F444</f>
        <v>404.9</v>
      </c>
      <c r="G443" s="279">
        <f aca="true" t="shared" si="26" ref="G443:G449">F443</f>
        <v>404.9</v>
      </c>
      <c r="H443" s="158"/>
    </row>
    <row r="444" spans="1:8" ht="24">
      <c r="A444" s="157" t="s">
        <v>491</v>
      </c>
      <c r="B444" s="147" t="s">
        <v>936</v>
      </c>
      <c r="C444" s="147" t="s">
        <v>433</v>
      </c>
      <c r="D444" s="147" t="s">
        <v>1643</v>
      </c>
      <c r="E444" s="147" t="s">
        <v>574</v>
      </c>
      <c r="F444" s="279">
        <f>F445</f>
        <v>404.9</v>
      </c>
      <c r="G444" s="279">
        <f t="shared" si="26"/>
        <v>404.9</v>
      </c>
      <c r="H444" s="158"/>
    </row>
    <row r="445" spans="1:8" ht="48">
      <c r="A445" s="153" t="s">
        <v>1644</v>
      </c>
      <c r="B445" s="147" t="s">
        <v>936</v>
      </c>
      <c r="C445" s="147" t="s">
        <v>433</v>
      </c>
      <c r="D445" s="147" t="s">
        <v>1643</v>
      </c>
      <c r="E445" s="147" t="s">
        <v>574</v>
      </c>
      <c r="F445" s="158">
        <v>404.9</v>
      </c>
      <c r="G445" s="279">
        <f t="shared" si="26"/>
        <v>404.9</v>
      </c>
      <c r="H445" s="158"/>
    </row>
    <row r="446" spans="1:8" ht="96">
      <c r="A446" s="153" t="s">
        <v>1645</v>
      </c>
      <c r="B446" s="147" t="s">
        <v>936</v>
      </c>
      <c r="C446" s="147" t="s">
        <v>433</v>
      </c>
      <c r="D446" s="147" t="s">
        <v>1646</v>
      </c>
      <c r="E446" s="147"/>
      <c r="F446" s="279">
        <f>F447</f>
        <v>21.3</v>
      </c>
      <c r="G446" s="279">
        <f t="shared" si="26"/>
        <v>21.3</v>
      </c>
      <c r="H446" s="158"/>
    </row>
    <row r="447" spans="1:8" ht="36">
      <c r="A447" s="152" t="s">
        <v>490</v>
      </c>
      <c r="B447" s="147" t="s">
        <v>936</v>
      </c>
      <c r="C447" s="147" t="s">
        <v>433</v>
      </c>
      <c r="D447" s="147" t="s">
        <v>1646</v>
      </c>
      <c r="E447" s="147" t="s">
        <v>489</v>
      </c>
      <c r="F447" s="279">
        <f>F448</f>
        <v>21.3</v>
      </c>
      <c r="G447" s="279">
        <f t="shared" si="26"/>
        <v>21.3</v>
      </c>
      <c r="H447" s="158"/>
    </row>
    <row r="448" spans="1:8" ht="24">
      <c r="A448" s="157" t="s">
        <v>491</v>
      </c>
      <c r="B448" s="147" t="s">
        <v>936</v>
      </c>
      <c r="C448" s="147" t="s">
        <v>433</v>
      </c>
      <c r="D448" s="147" t="s">
        <v>1646</v>
      </c>
      <c r="E448" s="147" t="s">
        <v>574</v>
      </c>
      <c r="F448" s="279">
        <f>F449</f>
        <v>21.3</v>
      </c>
      <c r="G448" s="279">
        <f t="shared" si="26"/>
        <v>21.3</v>
      </c>
      <c r="H448" s="158"/>
    </row>
    <row r="449" spans="1:8" ht="48">
      <c r="A449" s="153" t="s">
        <v>1644</v>
      </c>
      <c r="B449" s="147" t="s">
        <v>936</v>
      </c>
      <c r="C449" s="147" t="s">
        <v>433</v>
      </c>
      <c r="D449" s="147" t="s">
        <v>1646</v>
      </c>
      <c r="E449" s="147" t="s">
        <v>574</v>
      </c>
      <c r="F449" s="158">
        <v>21.3</v>
      </c>
      <c r="G449" s="279">
        <f t="shared" si="26"/>
        <v>21.3</v>
      </c>
      <c r="H449" s="158"/>
    </row>
    <row r="450" spans="1:8" ht="84">
      <c r="A450" s="159" t="s">
        <v>1635</v>
      </c>
      <c r="B450" s="147" t="s">
        <v>936</v>
      </c>
      <c r="C450" s="147" t="s">
        <v>433</v>
      </c>
      <c r="D450" s="147" t="s">
        <v>144</v>
      </c>
      <c r="E450" s="147"/>
      <c r="F450" s="279">
        <f aca="true" t="shared" si="27" ref="F450:G458">F451</f>
        <v>4130</v>
      </c>
      <c r="G450" s="279">
        <f t="shared" si="27"/>
        <v>2627</v>
      </c>
      <c r="H450" s="158"/>
    </row>
    <row r="451" spans="1:8" ht="24">
      <c r="A451" s="159" t="s">
        <v>142</v>
      </c>
      <c r="B451" s="147" t="s">
        <v>936</v>
      </c>
      <c r="C451" s="147" t="s">
        <v>433</v>
      </c>
      <c r="D451" s="147" t="s">
        <v>610</v>
      </c>
      <c r="E451" s="147"/>
      <c r="F451" s="279">
        <f>F452+F456</f>
        <v>4130</v>
      </c>
      <c r="G451" s="279">
        <f>G456</f>
        <v>2627</v>
      </c>
      <c r="H451" s="158"/>
    </row>
    <row r="452" spans="1:8" ht="108">
      <c r="A452" s="153" t="s">
        <v>1647</v>
      </c>
      <c r="B452" s="147" t="s">
        <v>936</v>
      </c>
      <c r="C452" s="147" t="s">
        <v>433</v>
      </c>
      <c r="D452" s="147" t="s">
        <v>1648</v>
      </c>
      <c r="E452" s="147"/>
      <c r="F452" s="279">
        <f t="shared" si="27"/>
        <v>1503</v>
      </c>
      <c r="G452" s="279">
        <f t="shared" si="27"/>
        <v>1503</v>
      </c>
      <c r="H452" s="158"/>
    </row>
    <row r="453" spans="1:8" ht="36">
      <c r="A453" s="152" t="s">
        <v>490</v>
      </c>
      <c r="B453" s="147" t="s">
        <v>936</v>
      </c>
      <c r="C453" s="147" t="s">
        <v>433</v>
      </c>
      <c r="D453" s="147" t="s">
        <v>1648</v>
      </c>
      <c r="E453" s="147" t="s">
        <v>489</v>
      </c>
      <c r="F453" s="279">
        <f t="shared" si="27"/>
        <v>1503</v>
      </c>
      <c r="G453" s="279">
        <f t="shared" si="27"/>
        <v>1503</v>
      </c>
      <c r="H453" s="158"/>
    </row>
    <row r="454" spans="1:8" ht="24">
      <c r="A454" s="157" t="s">
        <v>491</v>
      </c>
      <c r="B454" s="147" t="s">
        <v>936</v>
      </c>
      <c r="C454" s="147" t="s">
        <v>433</v>
      </c>
      <c r="D454" s="147" t="s">
        <v>1648</v>
      </c>
      <c r="E454" s="147" t="s">
        <v>574</v>
      </c>
      <c r="F454" s="279">
        <f t="shared" si="27"/>
        <v>1503</v>
      </c>
      <c r="G454" s="279">
        <f t="shared" si="27"/>
        <v>1503</v>
      </c>
      <c r="H454" s="158"/>
    </row>
    <row r="455" spans="1:8" ht="96">
      <c r="A455" s="157" t="s">
        <v>1649</v>
      </c>
      <c r="B455" s="147" t="s">
        <v>936</v>
      </c>
      <c r="C455" s="147" t="s">
        <v>433</v>
      </c>
      <c r="D455" s="147" t="s">
        <v>1648</v>
      </c>
      <c r="E455" s="147" t="s">
        <v>574</v>
      </c>
      <c r="F455" s="158">
        <v>1503</v>
      </c>
      <c r="G455" s="158">
        <f>F455</f>
        <v>1503</v>
      </c>
      <c r="H455" s="158"/>
    </row>
    <row r="456" spans="1:8" ht="84">
      <c r="A456" s="153" t="s">
        <v>1650</v>
      </c>
      <c r="B456" s="147" t="s">
        <v>936</v>
      </c>
      <c r="C456" s="147" t="s">
        <v>433</v>
      </c>
      <c r="D456" s="147" t="s">
        <v>1651</v>
      </c>
      <c r="E456" s="147"/>
      <c r="F456" s="279">
        <f t="shared" si="27"/>
        <v>2627</v>
      </c>
      <c r="G456" s="279">
        <f t="shared" si="27"/>
        <v>2627</v>
      </c>
      <c r="H456" s="158"/>
    </row>
    <row r="457" spans="1:8" ht="36">
      <c r="A457" s="152" t="s">
        <v>490</v>
      </c>
      <c r="B457" s="147" t="s">
        <v>936</v>
      </c>
      <c r="C457" s="147" t="s">
        <v>433</v>
      </c>
      <c r="D457" s="147" t="s">
        <v>1651</v>
      </c>
      <c r="E457" s="147" t="s">
        <v>489</v>
      </c>
      <c r="F457" s="279">
        <f t="shared" si="27"/>
        <v>2627</v>
      </c>
      <c r="G457" s="279">
        <f t="shared" si="27"/>
        <v>2627</v>
      </c>
      <c r="H457" s="158"/>
    </row>
    <row r="458" spans="1:8" ht="24">
      <c r="A458" s="157" t="s">
        <v>491</v>
      </c>
      <c r="B458" s="147" t="s">
        <v>936</v>
      </c>
      <c r="C458" s="147" t="s">
        <v>433</v>
      </c>
      <c r="D458" s="147" t="s">
        <v>1651</v>
      </c>
      <c r="E458" s="147" t="s">
        <v>574</v>
      </c>
      <c r="F458" s="279">
        <f t="shared" si="27"/>
        <v>2627</v>
      </c>
      <c r="G458" s="279">
        <f t="shared" si="27"/>
        <v>2627</v>
      </c>
      <c r="H458" s="158"/>
    </row>
    <row r="459" spans="1:8" ht="84">
      <c r="A459" s="157" t="s">
        <v>1652</v>
      </c>
      <c r="B459" s="147" t="s">
        <v>936</v>
      </c>
      <c r="C459" s="147" t="s">
        <v>433</v>
      </c>
      <c r="D459" s="147" t="s">
        <v>1651</v>
      </c>
      <c r="E459" s="147" t="s">
        <v>574</v>
      </c>
      <c r="F459" s="158">
        <v>2627</v>
      </c>
      <c r="G459" s="158">
        <f>F459</f>
        <v>2627</v>
      </c>
      <c r="H459" s="158"/>
    </row>
    <row r="460" spans="1:8" ht="36">
      <c r="A460" s="164" t="s">
        <v>1305</v>
      </c>
      <c r="B460" s="147" t="s">
        <v>936</v>
      </c>
      <c r="C460" s="147" t="s">
        <v>433</v>
      </c>
      <c r="D460" s="147" t="s">
        <v>469</v>
      </c>
      <c r="E460" s="147"/>
      <c r="F460" s="155">
        <f>F461+F468</f>
        <v>23200.1</v>
      </c>
      <c r="G460" s="155">
        <f>F460-H460</f>
        <v>23200.1</v>
      </c>
      <c r="H460" s="158"/>
    </row>
    <row r="461" spans="1:8" ht="48">
      <c r="A461" s="157" t="s">
        <v>1306</v>
      </c>
      <c r="B461" s="147" t="s">
        <v>936</v>
      </c>
      <c r="C461" s="147" t="s">
        <v>433</v>
      </c>
      <c r="D461" s="147" t="s">
        <v>470</v>
      </c>
      <c r="E461" s="147"/>
      <c r="F461" s="155">
        <f>F464+F466</f>
        <v>23200.1</v>
      </c>
      <c r="G461" s="155">
        <f>F461-H461</f>
        <v>23200.1</v>
      </c>
      <c r="H461" s="158"/>
    </row>
    <row r="462" spans="1:8" ht="36">
      <c r="A462" s="153" t="s">
        <v>840</v>
      </c>
      <c r="B462" s="147" t="s">
        <v>936</v>
      </c>
      <c r="C462" s="147" t="s">
        <v>433</v>
      </c>
      <c r="D462" s="147" t="s">
        <v>471</v>
      </c>
      <c r="E462" s="147"/>
      <c r="F462" s="155">
        <f>F463</f>
        <v>23200.1</v>
      </c>
      <c r="G462" s="155">
        <f>G463</f>
        <v>23200.1</v>
      </c>
      <c r="H462" s="158"/>
    </row>
    <row r="463" spans="1:8" ht="24">
      <c r="A463" s="153" t="s">
        <v>841</v>
      </c>
      <c r="B463" s="147" t="s">
        <v>936</v>
      </c>
      <c r="C463" s="147" t="s">
        <v>433</v>
      </c>
      <c r="D463" s="147" t="s">
        <v>472</v>
      </c>
      <c r="E463" s="147"/>
      <c r="F463" s="155">
        <f>F464+F466</f>
        <v>23200.1</v>
      </c>
      <c r="G463" s="155">
        <f>G464+G466</f>
        <v>23200.1</v>
      </c>
      <c r="H463" s="158"/>
    </row>
    <row r="464" spans="1:8" ht="72">
      <c r="A464" s="153" t="s">
        <v>1065</v>
      </c>
      <c r="B464" s="147" t="s">
        <v>936</v>
      </c>
      <c r="C464" s="147" t="s">
        <v>433</v>
      </c>
      <c r="D464" s="147" t="s">
        <v>472</v>
      </c>
      <c r="E464" s="147" t="s">
        <v>960</v>
      </c>
      <c r="F464" s="155">
        <f>F465</f>
        <v>22461.6</v>
      </c>
      <c r="G464" s="155">
        <f aca="true" t="shared" si="28" ref="G464:G474">F464-H464</f>
        <v>22461.6</v>
      </c>
      <c r="H464" s="158"/>
    </row>
    <row r="465" spans="1:8" ht="24">
      <c r="A465" s="152" t="s">
        <v>1165</v>
      </c>
      <c r="B465" s="147" t="s">
        <v>936</v>
      </c>
      <c r="C465" s="147" t="s">
        <v>433</v>
      </c>
      <c r="D465" s="147" t="s">
        <v>472</v>
      </c>
      <c r="E465" s="147" t="s">
        <v>1166</v>
      </c>
      <c r="F465" s="158">
        <f>21820-749.9+1068.8+322.7</f>
        <v>22461.6</v>
      </c>
      <c r="G465" s="155">
        <f t="shared" si="28"/>
        <v>22461.6</v>
      </c>
      <c r="H465" s="158"/>
    </row>
    <row r="466" spans="1:8" ht="24">
      <c r="A466" s="153" t="s">
        <v>1066</v>
      </c>
      <c r="B466" s="147" t="s">
        <v>936</v>
      </c>
      <c r="C466" s="147" t="s">
        <v>433</v>
      </c>
      <c r="D466" s="147" t="s">
        <v>472</v>
      </c>
      <c r="E466" s="147" t="s">
        <v>529</v>
      </c>
      <c r="F466" s="155">
        <f>F467</f>
        <v>738.5</v>
      </c>
      <c r="G466" s="155">
        <f t="shared" si="28"/>
        <v>738.5</v>
      </c>
      <c r="H466" s="158"/>
    </row>
    <row r="467" spans="1:8" ht="24">
      <c r="A467" s="153" t="s">
        <v>974</v>
      </c>
      <c r="B467" s="147" t="s">
        <v>936</v>
      </c>
      <c r="C467" s="147" t="s">
        <v>433</v>
      </c>
      <c r="D467" s="147" t="s">
        <v>472</v>
      </c>
      <c r="E467" s="147" t="s">
        <v>429</v>
      </c>
      <c r="F467" s="158">
        <f>280+200-30.5+289</f>
        <v>738.5</v>
      </c>
      <c r="G467" s="155">
        <f t="shared" si="28"/>
        <v>738.5</v>
      </c>
      <c r="H467" s="158"/>
    </row>
    <row r="468" spans="1:8" ht="36">
      <c r="A468" s="162" t="s">
        <v>1590</v>
      </c>
      <c r="B468" s="147" t="s">
        <v>936</v>
      </c>
      <c r="C468" s="147" t="s">
        <v>433</v>
      </c>
      <c r="D468" s="147" t="s">
        <v>830</v>
      </c>
      <c r="E468" s="147"/>
      <c r="F468" s="279">
        <f>F469</f>
        <v>0</v>
      </c>
      <c r="G468" s="155">
        <f>F468</f>
        <v>0</v>
      </c>
      <c r="H468" s="158"/>
    </row>
    <row r="469" spans="1:8" ht="36">
      <c r="A469" s="157" t="s">
        <v>831</v>
      </c>
      <c r="B469" s="147" t="s">
        <v>936</v>
      </c>
      <c r="C469" s="147" t="s">
        <v>433</v>
      </c>
      <c r="D469" s="147" t="s">
        <v>832</v>
      </c>
      <c r="E469" s="147"/>
      <c r="F469" s="279">
        <f>F470</f>
        <v>0</v>
      </c>
      <c r="G469" s="155">
        <f>F469</f>
        <v>0</v>
      </c>
      <c r="H469" s="158"/>
    </row>
    <row r="470" spans="1:8" ht="24">
      <c r="A470" s="153" t="s">
        <v>1066</v>
      </c>
      <c r="B470" s="147" t="s">
        <v>936</v>
      </c>
      <c r="C470" s="147" t="s">
        <v>433</v>
      </c>
      <c r="D470" s="147" t="s">
        <v>832</v>
      </c>
      <c r="E470" s="147" t="s">
        <v>529</v>
      </c>
      <c r="F470" s="279">
        <f>F471</f>
        <v>0</v>
      </c>
      <c r="G470" s="155">
        <f>F470</f>
        <v>0</v>
      </c>
      <c r="H470" s="158"/>
    </row>
    <row r="471" spans="1:8" ht="24">
      <c r="A471" s="153" t="s">
        <v>974</v>
      </c>
      <c r="B471" s="147" t="s">
        <v>936</v>
      </c>
      <c r="C471" s="147" t="s">
        <v>433</v>
      </c>
      <c r="D471" s="147" t="s">
        <v>832</v>
      </c>
      <c r="E471" s="147" t="s">
        <v>429</v>
      </c>
      <c r="F471" s="158">
        <f>1500-1500</f>
        <v>0</v>
      </c>
      <c r="G471" s="155">
        <f>F471</f>
        <v>0</v>
      </c>
      <c r="H471" s="158"/>
    </row>
    <row r="472" spans="1:8" ht="24">
      <c r="A472" s="156" t="s">
        <v>566</v>
      </c>
      <c r="B472" s="147" t="s">
        <v>936</v>
      </c>
      <c r="C472" s="147" t="s">
        <v>438</v>
      </c>
      <c r="D472" s="147"/>
      <c r="E472" s="170"/>
      <c r="F472" s="155">
        <f>F473+F483+F491+F504</f>
        <v>12053.2</v>
      </c>
      <c r="G472" s="155">
        <f t="shared" si="28"/>
        <v>12053.2</v>
      </c>
      <c r="H472" s="155"/>
    </row>
    <row r="473" spans="1:8" ht="24">
      <c r="A473" s="160" t="s">
        <v>1268</v>
      </c>
      <c r="B473" s="147" t="s">
        <v>936</v>
      </c>
      <c r="C473" s="147" t="s">
        <v>438</v>
      </c>
      <c r="D473" s="147" t="s">
        <v>733</v>
      </c>
      <c r="E473" s="147"/>
      <c r="F473" s="155">
        <f>F474</f>
        <v>3055</v>
      </c>
      <c r="G473" s="155">
        <f t="shared" si="28"/>
        <v>3055</v>
      </c>
      <c r="H473" s="155"/>
    </row>
    <row r="474" spans="1:8" ht="108">
      <c r="A474" s="157" t="s">
        <v>1307</v>
      </c>
      <c r="B474" s="147" t="s">
        <v>936</v>
      </c>
      <c r="C474" s="147" t="s">
        <v>438</v>
      </c>
      <c r="D474" s="147" t="s">
        <v>728</v>
      </c>
      <c r="E474" s="147"/>
      <c r="F474" s="155">
        <f>F475+F479</f>
        <v>3055</v>
      </c>
      <c r="G474" s="155">
        <f t="shared" si="28"/>
        <v>3055</v>
      </c>
      <c r="H474" s="155"/>
    </row>
    <row r="475" spans="1:8" ht="24">
      <c r="A475" s="157" t="s">
        <v>727</v>
      </c>
      <c r="B475" s="147" t="s">
        <v>936</v>
      </c>
      <c r="C475" s="147" t="s">
        <v>438</v>
      </c>
      <c r="D475" s="147" t="s">
        <v>789</v>
      </c>
      <c r="E475" s="147"/>
      <c r="F475" s="155">
        <f>F476</f>
        <v>55</v>
      </c>
      <c r="G475" s="155">
        <f>G476</f>
        <v>55</v>
      </c>
      <c r="H475" s="155"/>
    </row>
    <row r="476" spans="1:8" ht="24">
      <c r="A476" s="15" t="s">
        <v>1057</v>
      </c>
      <c r="B476" s="147" t="s">
        <v>936</v>
      </c>
      <c r="C476" s="147" t="s">
        <v>438</v>
      </c>
      <c r="D476" s="147" t="s">
        <v>1103</v>
      </c>
      <c r="E476" s="170"/>
      <c r="F476" s="155">
        <f>F477</f>
        <v>55</v>
      </c>
      <c r="G476" s="155">
        <f>F476-H476</f>
        <v>55</v>
      </c>
      <c r="H476" s="155"/>
    </row>
    <row r="477" spans="1:8" ht="24">
      <c r="A477" s="153" t="s">
        <v>1066</v>
      </c>
      <c r="B477" s="147" t="s">
        <v>936</v>
      </c>
      <c r="C477" s="147" t="s">
        <v>438</v>
      </c>
      <c r="D477" s="147" t="s">
        <v>1103</v>
      </c>
      <c r="E477" s="170" t="s">
        <v>529</v>
      </c>
      <c r="F477" s="155">
        <f>F478</f>
        <v>55</v>
      </c>
      <c r="G477" s="155">
        <f>F477-H477</f>
        <v>55</v>
      </c>
      <c r="H477" s="155"/>
    </row>
    <row r="478" spans="1:8" ht="24">
      <c r="A478" s="153" t="s">
        <v>591</v>
      </c>
      <c r="B478" s="147" t="s">
        <v>936</v>
      </c>
      <c r="C478" s="147" t="s">
        <v>438</v>
      </c>
      <c r="D478" s="147" t="s">
        <v>1103</v>
      </c>
      <c r="E478" s="170" t="s">
        <v>429</v>
      </c>
      <c r="F478" s="158">
        <f>125-70</f>
        <v>55</v>
      </c>
      <c r="G478" s="155">
        <f>F478-H478</f>
        <v>55</v>
      </c>
      <c r="H478" s="155"/>
    </row>
    <row r="479" spans="1:8" ht="36">
      <c r="A479" s="153" t="s">
        <v>731</v>
      </c>
      <c r="B479" s="147" t="s">
        <v>936</v>
      </c>
      <c r="C479" s="147" t="s">
        <v>438</v>
      </c>
      <c r="D479" s="147" t="s">
        <v>1179</v>
      </c>
      <c r="E479" s="170"/>
      <c r="F479" s="155">
        <f aca="true" t="shared" si="29" ref="F479:G481">F480</f>
        <v>3000</v>
      </c>
      <c r="G479" s="155">
        <f t="shared" si="29"/>
        <v>3000</v>
      </c>
      <c r="H479" s="155"/>
    </row>
    <row r="480" spans="1:8" ht="24">
      <c r="A480" s="15" t="s">
        <v>1057</v>
      </c>
      <c r="B480" s="147" t="s">
        <v>936</v>
      </c>
      <c r="C480" s="147" t="s">
        <v>438</v>
      </c>
      <c r="D480" s="147" t="s">
        <v>1102</v>
      </c>
      <c r="E480" s="170"/>
      <c r="F480" s="155">
        <f t="shared" si="29"/>
        <v>3000</v>
      </c>
      <c r="G480" s="155">
        <f t="shared" si="29"/>
        <v>3000</v>
      </c>
      <c r="H480" s="155"/>
    </row>
    <row r="481" spans="1:8" ht="24">
      <c r="A481" s="153" t="s">
        <v>1066</v>
      </c>
      <c r="B481" s="147" t="s">
        <v>936</v>
      </c>
      <c r="C481" s="147" t="s">
        <v>438</v>
      </c>
      <c r="D481" s="147" t="s">
        <v>1102</v>
      </c>
      <c r="E481" s="170" t="s">
        <v>529</v>
      </c>
      <c r="F481" s="155">
        <f t="shared" si="29"/>
        <v>3000</v>
      </c>
      <c r="G481" s="155">
        <f t="shared" si="29"/>
        <v>3000</v>
      </c>
      <c r="H481" s="155"/>
    </row>
    <row r="482" spans="1:8" ht="24">
      <c r="A482" s="153" t="s">
        <v>591</v>
      </c>
      <c r="B482" s="147" t="s">
        <v>936</v>
      </c>
      <c r="C482" s="147" t="s">
        <v>438</v>
      </c>
      <c r="D482" s="147" t="s">
        <v>1102</v>
      </c>
      <c r="E482" s="170" t="s">
        <v>429</v>
      </c>
      <c r="F482" s="158">
        <f>3000+2424-2424</f>
        <v>3000</v>
      </c>
      <c r="G482" s="280">
        <f>F482</f>
        <v>3000</v>
      </c>
      <c r="H482" s="155"/>
    </row>
    <row r="483" spans="1:8" ht="36">
      <c r="A483" s="171" t="s">
        <v>1308</v>
      </c>
      <c r="B483" s="147" t="s">
        <v>936</v>
      </c>
      <c r="C483" s="147" t="s">
        <v>438</v>
      </c>
      <c r="D483" s="147" t="s">
        <v>270</v>
      </c>
      <c r="E483" s="170"/>
      <c r="F483" s="155">
        <f>F484</f>
        <v>4498.2</v>
      </c>
      <c r="G483" s="155">
        <f>F483-H483</f>
        <v>4498.2</v>
      </c>
      <c r="H483" s="155"/>
    </row>
    <row r="484" spans="1:8" ht="36">
      <c r="A484" s="153" t="s">
        <v>1309</v>
      </c>
      <c r="B484" s="147" t="s">
        <v>936</v>
      </c>
      <c r="C484" s="147" t="s">
        <v>438</v>
      </c>
      <c r="D484" s="147" t="s">
        <v>271</v>
      </c>
      <c r="E484" s="170"/>
      <c r="F484" s="155">
        <f>F486</f>
        <v>4498.2</v>
      </c>
      <c r="G484" s="155">
        <f>F484-H484</f>
        <v>4498.2</v>
      </c>
      <c r="H484" s="155"/>
    </row>
    <row r="485" spans="1:8" ht="24">
      <c r="A485" s="153" t="s">
        <v>579</v>
      </c>
      <c r="B485" s="147" t="s">
        <v>936</v>
      </c>
      <c r="C485" s="147" t="s">
        <v>438</v>
      </c>
      <c r="D485" s="147" t="s">
        <v>272</v>
      </c>
      <c r="E485" s="170"/>
      <c r="F485" s="155">
        <f>F486</f>
        <v>4498.2</v>
      </c>
      <c r="G485" s="155">
        <f>G486</f>
        <v>4498.2</v>
      </c>
      <c r="H485" s="155"/>
    </row>
    <row r="486" spans="1:8" ht="60">
      <c r="A486" s="152" t="s">
        <v>269</v>
      </c>
      <c r="B486" s="147" t="s">
        <v>936</v>
      </c>
      <c r="C486" s="147" t="s">
        <v>438</v>
      </c>
      <c r="D486" s="147" t="s">
        <v>273</v>
      </c>
      <c r="E486" s="170"/>
      <c r="F486" s="155">
        <f>F487</f>
        <v>4498.2</v>
      </c>
      <c r="G486" s="155">
        <f>F486-H486</f>
        <v>4498.2</v>
      </c>
      <c r="H486" s="155"/>
    </row>
    <row r="487" spans="1:8" ht="24">
      <c r="A487" s="153" t="s">
        <v>1066</v>
      </c>
      <c r="B487" s="147" t="s">
        <v>936</v>
      </c>
      <c r="C487" s="147" t="s">
        <v>438</v>
      </c>
      <c r="D487" s="147" t="s">
        <v>273</v>
      </c>
      <c r="E487" s="170" t="s">
        <v>529</v>
      </c>
      <c r="F487" s="155">
        <f>F488</f>
        <v>4498.2</v>
      </c>
      <c r="G487" s="155">
        <f>F487</f>
        <v>4498.2</v>
      </c>
      <c r="H487" s="155"/>
    </row>
    <row r="488" spans="1:8" ht="24">
      <c r="A488" s="153" t="s">
        <v>591</v>
      </c>
      <c r="B488" s="147" t="s">
        <v>936</v>
      </c>
      <c r="C488" s="147" t="s">
        <v>438</v>
      </c>
      <c r="D488" s="147" t="s">
        <v>273</v>
      </c>
      <c r="E488" s="147" t="s">
        <v>429</v>
      </c>
      <c r="F488" s="158">
        <v>4498.2</v>
      </c>
      <c r="G488" s="158">
        <f>F488</f>
        <v>4498.2</v>
      </c>
      <c r="H488" s="155"/>
    </row>
    <row r="489" spans="1:8" ht="36">
      <c r="A489" s="152" t="s">
        <v>490</v>
      </c>
      <c r="B489" s="147" t="s">
        <v>936</v>
      </c>
      <c r="C489" s="147" t="s">
        <v>438</v>
      </c>
      <c r="D489" s="147" t="s">
        <v>273</v>
      </c>
      <c r="E489" s="170" t="s">
        <v>489</v>
      </c>
      <c r="F489" s="155">
        <f>F490</f>
        <v>0</v>
      </c>
      <c r="G489" s="155">
        <f>F489-H489</f>
        <v>0</v>
      </c>
      <c r="H489" s="155"/>
    </row>
    <row r="490" spans="1:8" ht="24">
      <c r="A490" s="157" t="s">
        <v>371</v>
      </c>
      <c r="B490" s="147" t="s">
        <v>936</v>
      </c>
      <c r="C490" s="147" t="s">
        <v>438</v>
      </c>
      <c r="D490" s="147" t="s">
        <v>273</v>
      </c>
      <c r="E490" s="147" t="s">
        <v>574</v>
      </c>
      <c r="F490" s="158">
        <f>4498.2-4498.2</f>
        <v>0</v>
      </c>
      <c r="G490" s="155">
        <f>F490-H490</f>
        <v>0</v>
      </c>
      <c r="H490" s="155"/>
    </row>
    <row r="491" spans="1:8" ht="36">
      <c r="A491" s="164" t="s">
        <v>1279</v>
      </c>
      <c r="B491" s="147" t="s">
        <v>936</v>
      </c>
      <c r="C491" s="147" t="s">
        <v>438</v>
      </c>
      <c r="D491" s="147" t="s">
        <v>137</v>
      </c>
      <c r="E491" s="147"/>
      <c r="F491" s="155">
        <f>F492</f>
        <v>2500</v>
      </c>
      <c r="G491" s="155">
        <f>F491-H491</f>
        <v>2500</v>
      </c>
      <c r="H491" s="155"/>
    </row>
    <row r="492" spans="1:8" ht="36">
      <c r="A492" s="152" t="s">
        <v>1310</v>
      </c>
      <c r="B492" s="147" t="s">
        <v>936</v>
      </c>
      <c r="C492" s="147" t="s">
        <v>438</v>
      </c>
      <c r="D492" s="147" t="s">
        <v>274</v>
      </c>
      <c r="E492" s="147"/>
      <c r="F492" s="155">
        <f>F493+F500</f>
        <v>2500</v>
      </c>
      <c r="G492" s="155">
        <f>G495+G498</f>
        <v>2350</v>
      </c>
      <c r="H492" s="155">
        <f>H495+H498</f>
        <v>0</v>
      </c>
    </row>
    <row r="493" spans="1:8" ht="48">
      <c r="A493" s="152" t="s">
        <v>1490</v>
      </c>
      <c r="B493" s="147" t="s">
        <v>936</v>
      </c>
      <c r="C493" s="147" t="s">
        <v>438</v>
      </c>
      <c r="D493" s="147" t="s">
        <v>617</v>
      </c>
      <c r="E493" s="147"/>
      <c r="F493" s="155">
        <f>F494+F497</f>
        <v>2350</v>
      </c>
      <c r="G493" s="155">
        <f>G494+G497</f>
        <v>2350</v>
      </c>
      <c r="H493" s="155"/>
    </row>
    <row r="494" spans="1:8" ht="60">
      <c r="A494" s="157" t="s">
        <v>294</v>
      </c>
      <c r="B494" s="147" t="s">
        <v>936</v>
      </c>
      <c r="C494" s="147" t="s">
        <v>438</v>
      </c>
      <c r="D494" s="147" t="s">
        <v>618</v>
      </c>
      <c r="E494" s="147"/>
      <c r="F494" s="155">
        <f>F495</f>
        <v>1850</v>
      </c>
      <c r="G494" s="155">
        <f>G495</f>
        <v>1850</v>
      </c>
      <c r="H494" s="155"/>
    </row>
    <row r="495" spans="1:8" ht="24">
      <c r="A495" s="153" t="s">
        <v>985</v>
      </c>
      <c r="B495" s="147" t="s">
        <v>936</v>
      </c>
      <c r="C495" s="147" t="s">
        <v>438</v>
      </c>
      <c r="D495" s="147" t="s">
        <v>618</v>
      </c>
      <c r="E495" s="147" t="s">
        <v>986</v>
      </c>
      <c r="F495" s="155">
        <f>F496</f>
        <v>1850</v>
      </c>
      <c r="G495" s="155">
        <f>G496</f>
        <v>1850</v>
      </c>
      <c r="H495" s="155"/>
    </row>
    <row r="496" spans="1:8" ht="48">
      <c r="A496" s="152" t="s">
        <v>555</v>
      </c>
      <c r="B496" s="147" t="s">
        <v>936</v>
      </c>
      <c r="C496" s="147" t="s">
        <v>438</v>
      </c>
      <c r="D496" s="147" t="s">
        <v>618</v>
      </c>
      <c r="E496" s="147" t="s">
        <v>556</v>
      </c>
      <c r="F496" s="158">
        <f>500+1350</f>
        <v>1850</v>
      </c>
      <c r="G496" s="155">
        <f>F496</f>
        <v>1850</v>
      </c>
      <c r="H496" s="155"/>
    </row>
    <row r="497" spans="1:8" ht="60">
      <c r="A497" s="157" t="s">
        <v>1140</v>
      </c>
      <c r="B497" s="147" t="s">
        <v>936</v>
      </c>
      <c r="C497" s="147" t="s">
        <v>438</v>
      </c>
      <c r="D497" s="147" t="s">
        <v>619</v>
      </c>
      <c r="E497" s="147"/>
      <c r="F497" s="155">
        <f>F498</f>
        <v>500</v>
      </c>
      <c r="G497" s="155">
        <f>G498</f>
        <v>500</v>
      </c>
      <c r="H497" s="155"/>
    </row>
    <row r="498" spans="1:8" ht="24">
      <c r="A498" s="153" t="s">
        <v>985</v>
      </c>
      <c r="B498" s="147" t="s">
        <v>936</v>
      </c>
      <c r="C498" s="147" t="s">
        <v>438</v>
      </c>
      <c r="D498" s="147" t="s">
        <v>619</v>
      </c>
      <c r="E498" s="147" t="s">
        <v>986</v>
      </c>
      <c r="F498" s="155">
        <f>F499</f>
        <v>500</v>
      </c>
      <c r="G498" s="155">
        <f>G499</f>
        <v>500</v>
      </c>
      <c r="H498" s="155"/>
    </row>
    <row r="499" spans="1:8" ht="48">
      <c r="A499" s="152" t="s">
        <v>555</v>
      </c>
      <c r="B499" s="147" t="s">
        <v>936</v>
      </c>
      <c r="C499" s="147" t="s">
        <v>438</v>
      </c>
      <c r="D499" s="147" t="s">
        <v>619</v>
      </c>
      <c r="E499" s="147" t="s">
        <v>556</v>
      </c>
      <c r="F499" s="158">
        <v>500</v>
      </c>
      <c r="G499" s="155">
        <f>F499-H499</f>
        <v>500</v>
      </c>
      <c r="H499" s="155"/>
    </row>
    <row r="500" spans="1:8" ht="36">
      <c r="A500" s="152" t="s">
        <v>1219</v>
      </c>
      <c r="B500" s="147" t="s">
        <v>936</v>
      </c>
      <c r="C500" s="147" t="s">
        <v>438</v>
      </c>
      <c r="D500" s="147" t="s">
        <v>1220</v>
      </c>
      <c r="E500" s="147"/>
      <c r="F500" s="279">
        <f aca="true" t="shared" si="30" ref="F500:G502">F501</f>
        <v>150</v>
      </c>
      <c r="G500" s="155">
        <f t="shared" si="30"/>
        <v>150</v>
      </c>
      <c r="H500" s="155"/>
    </row>
    <row r="501" spans="1:8" ht="24">
      <c r="A501" s="152" t="s">
        <v>1591</v>
      </c>
      <c r="B501" s="147" t="s">
        <v>936</v>
      </c>
      <c r="C501" s="147" t="s">
        <v>438</v>
      </c>
      <c r="D501" s="147" t="s">
        <v>1592</v>
      </c>
      <c r="E501" s="147"/>
      <c r="F501" s="279">
        <f t="shared" si="30"/>
        <v>150</v>
      </c>
      <c r="G501" s="155">
        <f t="shared" si="30"/>
        <v>150</v>
      </c>
      <c r="H501" s="155"/>
    </row>
    <row r="502" spans="1:8" ht="24">
      <c r="A502" s="152" t="s">
        <v>1066</v>
      </c>
      <c r="B502" s="147" t="s">
        <v>936</v>
      </c>
      <c r="C502" s="147" t="s">
        <v>438</v>
      </c>
      <c r="D502" s="147" t="s">
        <v>1592</v>
      </c>
      <c r="E502" s="147" t="s">
        <v>529</v>
      </c>
      <c r="F502" s="279">
        <f t="shared" si="30"/>
        <v>150</v>
      </c>
      <c r="G502" s="155">
        <f t="shared" si="30"/>
        <v>150</v>
      </c>
      <c r="H502" s="155"/>
    </row>
    <row r="503" spans="1:8" ht="24">
      <c r="A503" s="153" t="s">
        <v>974</v>
      </c>
      <c r="B503" s="147" t="s">
        <v>936</v>
      </c>
      <c r="C503" s="147" t="s">
        <v>438</v>
      </c>
      <c r="D503" s="147" t="s">
        <v>1592</v>
      </c>
      <c r="E503" s="147" t="s">
        <v>429</v>
      </c>
      <c r="F503" s="158">
        <v>150</v>
      </c>
      <c r="G503" s="155">
        <f>F503</f>
        <v>150</v>
      </c>
      <c r="H503" s="155"/>
    </row>
    <row r="504" spans="1:8" ht="36">
      <c r="A504" s="164" t="s">
        <v>1305</v>
      </c>
      <c r="B504" s="147" t="s">
        <v>936</v>
      </c>
      <c r="C504" s="147" t="s">
        <v>438</v>
      </c>
      <c r="D504" s="147" t="s">
        <v>469</v>
      </c>
      <c r="E504" s="147"/>
      <c r="F504" s="279">
        <f>F505</f>
        <v>2000</v>
      </c>
      <c r="G504" s="155">
        <f aca="true" t="shared" si="31" ref="G504:G509">F504</f>
        <v>2000</v>
      </c>
      <c r="H504" s="155"/>
    </row>
    <row r="505" spans="1:8" ht="48">
      <c r="A505" s="157" t="s">
        <v>1306</v>
      </c>
      <c r="B505" s="147" t="s">
        <v>936</v>
      </c>
      <c r="C505" s="147" t="s">
        <v>438</v>
      </c>
      <c r="D505" s="147" t="s">
        <v>470</v>
      </c>
      <c r="E505" s="147"/>
      <c r="F505" s="279">
        <f>F506</f>
        <v>2000</v>
      </c>
      <c r="G505" s="155">
        <f t="shared" si="31"/>
        <v>2000</v>
      </c>
      <c r="H505" s="155"/>
    </row>
    <row r="506" spans="1:8" ht="48">
      <c r="A506" s="162" t="s">
        <v>829</v>
      </c>
      <c r="B506" s="147" t="s">
        <v>936</v>
      </c>
      <c r="C506" s="147" t="s">
        <v>438</v>
      </c>
      <c r="D506" s="147" t="s">
        <v>830</v>
      </c>
      <c r="E506" s="147"/>
      <c r="F506" s="279">
        <f>F507</f>
        <v>2000</v>
      </c>
      <c r="G506" s="155">
        <f t="shared" si="31"/>
        <v>2000</v>
      </c>
      <c r="H506" s="158"/>
    </row>
    <row r="507" spans="1:8" ht="36">
      <c r="A507" s="157" t="s">
        <v>831</v>
      </c>
      <c r="B507" s="147" t="s">
        <v>936</v>
      </c>
      <c r="C507" s="147" t="s">
        <v>438</v>
      </c>
      <c r="D507" s="147" t="s">
        <v>832</v>
      </c>
      <c r="E507" s="147"/>
      <c r="F507" s="279">
        <f>F508</f>
        <v>2000</v>
      </c>
      <c r="G507" s="155">
        <f t="shared" si="31"/>
        <v>2000</v>
      </c>
      <c r="H507" s="158"/>
    </row>
    <row r="508" spans="1:8" ht="24">
      <c r="A508" s="153" t="s">
        <v>1066</v>
      </c>
      <c r="B508" s="147" t="s">
        <v>936</v>
      </c>
      <c r="C508" s="147" t="s">
        <v>438</v>
      </c>
      <c r="D508" s="147" t="s">
        <v>832</v>
      </c>
      <c r="E508" s="147" t="s">
        <v>529</v>
      </c>
      <c r="F508" s="279">
        <f>F509</f>
        <v>2000</v>
      </c>
      <c r="G508" s="155">
        <f t="shared" si="31"/>
        <v>2000</v>
      </c>
      <c r="H508" s="158"/>
    </row>
    <row r="509" spans="1:8" ht="24">
      <c r="A509" s="153" t="s">
        <v>974</v>
      </c>
      <c r="B509" s="147" t="s">
        <v>936</v>
      </c>
      <c r="C509" s="147" t="s">
        <v>438</v>
      </c>
      <c r="D509" s="147" t="s">
        <v>832</v>
      </c>
      <c r="E509" s="147" t="s">
        <v>429</v>
      </c>
      <c r="F509" s="158">
        <f>1500+500</f>
        <v>2000</v>
      </c>
      <c r="G509" s="155">
        <f t="shared" si="31"/>
        <v>2000</v>
      </c>
      <c r="H509" s="158"/>
    </row>
    <row r="510" spans="1:8" ht="25.5">
      <c r="A510" s="166" t="s">
        <v>437</v>
      </c>
      <c r="B510" s="172" t="s">
        <v>432</v>
      </c>
      <c r="C510" s="172"/>
      <c r="D510" s="170"/>
      <c r="E510" s="170"/>
      <c r="F510" s="148">
        <f>F511+F537+F567</f>
        <v>1127869.2</v>
      </c>
      <c r="G510" s="148">
        <f>G511+G537+G567</f>
        <v>1097869.2</v>
      </c>
      <c r="H510" s="148">
        <f>H511+H537+H567</f>
        <v>0</v>
      </c>
    </row>
    <row r="511" spans="1:8" ht="15">
      <c r="A511" s="156" t="s">
        <v>1118</v>
      </c>
      <c r="B511" s="170" t="s">
        <v>432</v>
      </c>
      <c r="C511" s="170" t="s">
        <v>1145</v>
      </c>
      <c r="D511" s="170"/>
      <c r="E511" s="170"/>
      <c r="F511" s="155">
        <f>F512+F531</f>
        <v>256219.4</v>
      </c>
      <c r="G511" s="155">
        <f>G512+G531</f>
        <v>256219.4</v>
      </c>
      <c r="H511" s="155">
        <f>H512+H531</f>
        <v>0</v>
      </c>
    </row>
    <row r="512" spans="1:8" ht="36">
      <c r="A512" s="171" t="s">
        <v>1308</v>
      </c>
      <c r="B512" s="170" t="s">
        <v>432</v>
      </c>
      <c r="C512" s="170" t="s">
        <v>1145</v>
      </c>
      <c r="D512" s="170" t="s">
        <v>270</v>
      </c>
      <c r="E512" s="170"/>
      <c r="F512" s="155">
        <f>F513</f>
        <v>244571.4</v>
      </c>
      <c r="G512" s="155">
        <f>F512-H512</f>
        <v>244571.4</v>
      </c>
      <c r="H512" s="155"/>
    </row>
    <row r="513" spans="1:8" ht="84">
      <c r="A513" s="152" t="s">
        <v>1311</v>
      </c>
      <c r="B513" s="170" t="s">
        <v>432</v>
      </c>
      <c r="C513" s="170" t="s">
        <v>1145</v>
      </c>
      <c r="D513" s="170" t="s">
        <v>846</v>
      </c>
      <c r="E513" s="170"/>
      <c r="F513" s="155">
        <f>F514+F527</f>
        <v>244571.4</v>
      </c>
      <c r="G513" s="155">
        <f>F513-H513</f>
        <v>244571.4</v>
      </c>
      <c r="H513" s="155"/>
    </row>
    <row r="514" spans="1:8" ht="24">
      <c r="A514" s="152" t="s">
        <v>845</v>
      </c>
      <c r="B514" s="170" t="s">
        <v>432</v>
      </c>
      <c r="C514" s="170" t="s">
        <v>1145</v>
      </c>
      <c r="D514" s="170" t="s">
        <v>1180</v>
      </c>
      <c r="E514" s="170"/>
      <c r="F514" s="155">
        <f>F515+F518+F524+F521</f>
        <v>214488.5</v>
      </c>
      <c r="G514" s="155">
        <f>G515+G518+G524</f>
        <v>62006</v>
      </c>
      <c r="H514" s="155">
        <f>H515+H518+H524</f>
        <v>0</v>
      </c>
    </row>
    <row r="515" spans="1:8" ht="24">
      <c r="A515" s="152" t="s">
        <v>848</v>
      </c>
      <c r="B515" s="170" t="s">
        <v>432</v>
      </c>
      <c r="C515" s="170" t="s">
        <v>1145</v>
      </c>
      <c r="D515" s="170" t="s">
        <v>1192</v>
      </c>
      <c r="E515" s="170"/>
      <c r="F515" s="155">
        <f>F516</f>
        <v>5000</v>
      </c>
      <c r="G515" s="155">
        <f>G516</f>
        <v>5000</v>
      </c>
      <c r="H515" s="155"/>
    </row>
    <row r="516" spans="1:8" ht="15">
      <c r="A516" s="153" t="s">
        <v>985</v>
      </c>
      <c r="B516" s="170" t="s">
        <v>432</v>
      </c>
      <c r="C516" s="170" t="s">
        <v>1145</v>
      </c>
      <c r="D516" s="170" t="s">
        <v>1192</v>
      </c>
      <c r="E516" s="170" t="s">
        <v>986</v>
      </c>
      <c r="F516" s="155">
        <f>F517</f>
        <v>5000</v>
      </c>
      <c r="G516" s="155">
        <f>F516-H516</f>
        <v>5000</v>
      </c>
      <c r="H516" s="155"/>
    </row>
    <row r="517" spans="1:8" ht="48">
      <c r="A517" s="152" t="s">
        <v>555</v>
      </c>
      <c r="B517" s="170" t="s">
        <v>432</v>
      </c>
      <c r="C517" s="170" t="s">
        <v>1145</v>
      </c>
      <c r="D517" s="170" t="s">
        <v>1192</v>
      </c>
      <c r="E517" s="170" t="s">
        <v>556</v>
      </c>
      <c r="F517" s="158">
        <v>5000</v>
      </c>
      <c r="G517" s="155">
        <f>F517-H517</f>
        <v>5000</v>
      </c>
      <c r="H517" s="155"/>
    </row>
    <row r="518" spans="1:8" ht="84">
      <c r="A518" s="152" t="s">
        <v>1593</v>
      </c>
      <c r="B518" s="170" t="s">
        <v>432</v>
      </c>
      <c r="C518" s="170" t="s">
        <v>1145</v>
      </c>
      <c r="D518" s="170" t="s">
        <v>1594</v>
      </c>
      <c r="E518" s="170"/>
      <c r="F518" s="279">
        <f>F519</f>
        <v>20777</v>
      </c>
      <c r="G518" s="155">
        <f aca="true" t="shared" si="32" ref="G518:G526">F518</f>
        <v>20777</v>
      </c>
      <c r="H518" s="155"/>
    </row>
    <row r="519" spans="1:8" ht="15">
      <c r="A519" s="153" t="s">
        <v>985</v>
      </c>
      <c r="B519" s="170" t="s">
        <v>432</v>
      </c>
      <c r="C519" s="170" t="s">
        <v>1145</v>
      </c>
      <c r="D519" s="170" t="s">
        <v>1594</v>
      </c>
      <c r="E519" s="170" t="s">
        <v>986</v>
      </c>
      <c r="F519" s="279">
        <f>F520</f>
        <v>20777</v>
      </c>
      <c r="G519" s="155">
        <f t="shared" si="32"/>
        <v>20777</v>
      </c>
      <c r="H519" s="155"/>
    </row>
    <row r="520" spans="1:8" ht="48">
      <c r="A520" s="152" t="s">
        <v>555</v>
      </c>
      <c r="B520" s="170" t="s">
        <v>432</v>
      </c>
      <c r="C520" s="170" t="s">
        <v>1145</v>
      </c>
      <c r="D520" s="170" t="s">
        <v>1594</v>
      </c>
      <c r="E520" s="170" t="s">
        <v>556</v>
      </c>
      <c r="F520" s="158">
        <f>20735+42</f>
        <v>20777</v>
      </c>
      <c r="G520" s="155">
        <f t="shared" si="32"/>
        <v>20777</v>
      </c>
      <c r="H520" s="155"/>
    </row>
    <row r="521" spans="1:8" ht="120">
      <c r="A521" s="152" t="s">
        <v>1790</v>
      </c>
      <c r="B521" s="170" t="s">
        <v>432</v>
      </c>
      <c r="C521" s="170" t="s">
        <v>1145</v>
      </c>
      <c r="D521" s="170" t="s">
        <v>1791</v>
      </c>
      <c r="E521" s="170"/>
      <c r="F521" s="325">
        <f>F522</f>
        <v>152482.5</v>
      </c>
      <c r="G521" s="155">
        <f>G522</f>
        <v>152482.5</v>
      </c>
      <c r="H521" s="155"/>
    </row>
    <row r="522" spans="1:8" ht="15">
      <c r="A522" s="153" t="s">
        <v>985</v>
      </c>
      <c r="B522" s="170" t="s">
        <v>432</v>
      </c>
      <c r="C522" s="170" t="s">
        <v>1145</v>
      </c>
      <c r="D522" s="170" t="s">
        <v>1791</v>
      </c>
      <c r="E522" s="170" t="s">
        <v>986</v>
      </c>
      <c r="F522" s="325">
        <f>F523</f>
        <v>152482.5</v>
      </c>
      <c r="G522" s="155">
        <f>G523</f>
        <v>152482.5</v>
      </c>
      <c r="H522" s="155"/>
    </row>
    <row r="523" spans="1:8" ht="48">
      <c r="A523" s="152" t="s">
        <v>555</v>
      </c>
      <c r="B523" s="170" t="s">
        <v>432</v>
      </c>
      <c r="C523" s="170" t="s">
        <v>1145</v>
      </c>
      <c r="D523" s="170" t="s">
        <v>1791</v>
      </c>
      <c r="E523" s="170" t="s">
        <v>556</v>
      </c>
      <c r="F523" s="158">
        <v>152482.5</v>
      </c>
      <c r="G523" s="155">
        <f>F523</f>
        <v>152482.5</v>
      </c>
      <c r="H523" s="155"/>
    </row>
    <row r="524" spans="1:8" ht="24">
      <c r="A524" s="152" t="s">
        <v>1653</v>
      </c>
      <c r="B524" s="170" t="s">
        <v>432</v>
      </c>
      <c r="C524" s="170" t="s">
        <v>1145</v>
      </c>
      <c r="D524" s="170" t="s">
        <v>1654</v>
      </c>
      <c r="E524" s="170"/>
      <c r="F524" s="279">
        <f>F525</f>
        <v>36229</v>
      </c>
      <c r="G524" s="155">
        <f t="shared" si="32"/>
        <v>36229</v>
      </c>
      <c r="H524" s="155"/>
    </row>
    <row r="525" spans="1:8" ht="15">
      <c r="A525" s="153" t="s">
        <v>985</v>
      </c>
      <c r="B525" s="170" t="s">
        <v>432</v>
      </c>
      <c r="C525" s="170" t="s">
        <v>1145</v>
      </c>
      <c r="D525" s="170" t="s">
        <v>1654</v>
      </c>
      <c r="E525" s="170" t="s">
        <v>986</v>
      </c>
      <c r="F525" s="279">
        <f>F526</f>
        <v>36229</v>
      </c>
      <c r="G525" s="155">
        <f t="shared" si="32"/>
        <v>36229</v>
      </c>
      <c r="H525" s="155"/>
    </row>
    <row r="526" spans="1:8" ht="48">
      <c r="A526" s="152" t="s">
        <v>555</v>
      </c>
      <c r="B526" s="170" t="s">
        <v>432</v>
      </c>
      <c r="C526" s="170" t="s">
        <v>1145</v>
      </c>
      <c r="D526" s="170" t="s">
        <v>1654</v>
      </c>
      <c r="E526" s="170" t="s">
        <v>556</v>
      </c>
      <c r="F526" s="158">
        <v>36229</v>
      </c>
      <c r="G526" s="155">
        <f t="shared" si="32"/>
        <v>36229</v>
      </c>
      <c r="H526" s="155"/>
    </row>
    <row r="527" spans="1:8" ht="24">
      <c r="A527" s="152" t="s">
        <v>735</v>
      </c>
      <c r="B527" s="147" t="s">
        <v>432</v>
      </c>
      <c r="C527" s="147" t="s">
        <v>1145</v>
      </c>
      <c r="D527" s="170" t="s">
        <v>1193</v>
      </c>
      <c r="E527" s="170"/>
      <c r="F527" s="155">
        <f>F528</f>
        <v>30082.9</v>
      </c>
      <c r="G527" s="155">
        <f>G529</f>
        <v>30082.9</v>
      </c>
      <c r="H527" s="155"/>
    </row>
    <row r="528" spans="1:8" ht="48">
      <c r="A528" s="152" t="s">
        <v>625</v>
      </c>
      <c r="B528" s="147" t="s">
        <v>432</v>
      </c>
      <c r="C528" s="147" t="s">
        <v>1145</v>
      </c>
      <c r="D528" s="170" t="s">
        <v>1194</v>
      </c>
      <c r="E528" s="170"/>
      <c r="F528" s="155">
        <f>F529</f>
        <v>30082.9</v>
      </c>
      <c r="G528" s="155">
        <f>F528</f>
        <v>30082.9</v>
      </c>
      <c r="H528" s="155"/>
    </row>
    <row r="529" spans="1:8" ht="15">
      <c r="A529" s="153" t="s">
        <v>985</v>
      </c>
      <c r="B529" s="147" t="s">
        <v>432</v>
      </c>
      <c r="C529" s="147" t="s">
        <v>1145</v>
      </c>
      <c r="D529" s="170" t="s">
        <v>1194</v>
      </c>
      <c r="E529" s="170" t="s">
        <v>986</v>
      </c>
      <c r="F529" s="155">
        <f>F530</f>
        <v>30082.9</v>
      </c>
      <c r="G529" s="155">
        <f>F529-H529</f>
        <v>30082.9</v>
      </c>
      <c r="H529" s="155"/>
    </row>
    <row r="530" spans="1:8" ht="75" customHeight="1">
      <c r="A530" s="152" t="s">
        <v>555</v>
      </c>
      <c r="B530" s="147" t="s">
        <v>432</v>
      </c>
      <c r="C530" s="147" t="s">
        <v>1145</v>
      </c>
      <c r="D530" s="170" t="s">
        <v>1194</v>
      </c>
      <c r="E530" s="170" t="s">
        <v>556</v>
      </c>
      <c r="F530" s="158">
        <v>30082.9</v>
      </c>
      <c r="G530" s="155">
        <f>F530-H530</f>
        <v>30082.9</v>
      </c>
      <c r="H530" s="155"/>
    </row>
    <row r="531" spans="1:8" ht="24">
      <c r="A531" s="164" t="s">
        <v>1312</v>
      </c>
      <c r="B531" s="147" t="s">
        <v>432</v>
      </c>
      <c r="C531" s="147" t="s">
        <v>1145</v>
      </c>
      <c r="D531" s="147" t="s">
        <v>733</v>
      </c>
      <c r="E531" s="170"/>
      <c r="F531" s="155">
        <f>F532</f>
        <v>11648</v>
      </c>
      <c r="G531" s="155">
        <f>F531-H531</f>
        <v>11648</v>
      </c>
      <c r="H531" s="155"/>
    </row>
    <row r="532" spans="1:8" ht="108">
      <c r="A532" s="157" t="s">
        <v>1307</v>
      </c>
      <c r="B532" s="147" t="s">
        <v>432</v>
      </c>
      <c r="C532" s="147" t="s">
        <v>1145</v>
      </c>
      <c r="D532" s="147" t="s">
        <v>728</v>
      </c>
      <c r="E532" s="170"/>
      <c r="F532" s="155">
        <f>F535</f>
        <v>11648</v>
      </c>
      <c r="G532" s="155">
        <f>F532-H532</f>
        <v>11648</v>
      </c>
      <c r="H532" s="155"/>
    </row>
    <row r="533" spans="1:8" ht="36">
      <c r="A533" s="153" t="s">
        <v>732</v>
      </c>
      <c r="B533" s="147" t="s">
        <v>432</v>
      </c>
      <c r="C533" s="147" t="s">
        <v>1145</v>
      </c>
      <c r="D533" s="147" t="s">
        <v>729</v>
      </c>
      <c r="E533" s="170"/>
      <c r="F533" s="155">
        <f>F534</f>
        <v>11648</v>
      </c>
      <c r="G533" s="155">
        <f>F533</f>
        <v>11648</v>
      </c>
      <c r="H533" s="155"/>
    </row>
    <row r="534" spans="1:8" ht="36">
      <c r="A534" s="153" t="s">
        <v>626</v>
      </c>
      <c r="B534" s="147" t="s">
        <v>432</v>
      </c>
      <c r="C534" s="147" t="s">
        <v>1145</v>
      </c>
      <c r="D534" s="147" t="s">
        <v>791</v>
      </c>
      <c r="E534" s="170"/>
      <c r="F534" s="155">
        <f>F535</f>
        <v>11648</v>
      </c>
      <c r="G534" s="155">
        <f>F534</f>
        <v>11648</v>
      </c>
      <c r="H534" s="155"/>
    </row>
    <row r="535" spans="1:8" ht="24">
      <c r="A535" s="153" t="s">
        <v>1066</v>
      </c>
      <c r="B535" s="147" t="s">
        <v>432</v>
      </c>
      <c r="C535" s="147" t="s">
        <v>1145</v>
      </c>
      <c r="D535" s="147" t="s">
        <v>791</v>
      </c>
      <c r="E535" s="170" t="s">
        <v>529</v>
      </c>
      <c r="F535" s="155">
        <f>F536</f>
        <v>11648</v>
      </c>
      <c r="G535" s="155">
        <f>F535-H535</f>
        <v>11648</v>
      </c>
      <c r="H535" s="155"/>
    </row>
    <row r="536" spans="1:8" ht="24">
      <c r="A536" s="153" t="s">
        <v>974</v>
      </c>
      <c r="B536" s="147" t="s">
        <v>432</v>
      </c>
      <c r="C536" s="147" t="s">
        <v>1145</v>
      </c>
      <c r="D536" s="147" t="s">
        <v>791</v>
      </c>
      <c r="E536" s="170" t="s">
        <v>429</v>
      </c>
      <c r="F536" s="158">
        <f>9237.1+355.1+6.9+28.9+5+2015</f>
        <v>11648</v>
      </c>
      <c r="G536" s="155">
        <f>F536-H536</f>
        <v>11648</v>
      </c>
      <c r="H536" s="155"/>
    </row>
    <row r="537" spans="1:8" ht="15">
      <c r="A537" s="199" t="s">
        <v>370</v>
      </c>
      <c r="B537" s="147" t="s">
        <v>432</v>
      </c>
      <c r="C537" s="147" t="s">
        <v>405</v>
      </c>
      <c r="D537" s="147"/>
      <c r="E537" s="147"/>
      <c r="F537" s="155">
        <f>F538</f>
        <v>223335.19999999998</v>
      </c>
      <c r="G537" s="155">
        <f>G538</f>
        <v>223335.19999999998</v>
      </c>
      <c r="H537" s="155">
        <f>H538</f>
        <v>0</v>
      </c>
    </row>
    <row r="538" spans="1:8" ht="36">
      <c r="A538" s="171" t="s">
        <v>1308</v>
      </c>
      <c r="B538" s="147" t="s">
        <v>432</v>
      </c>
      <c r="C538" s="147" t="s">
        <v>405</v>
      </c>
      <c r="D538" s="147" t="s">
        <v>270</v>
      </c>
      <c r="E538" s="147"/>
      <c r="F538" s="155">
        <f>F539</f>
        <v>223335.19999999998</v>
      </c>
      <c r="G538" s="155">
        <f>F538-H538</f>
        <v>223335.19999999998</v>
      </c>
      <c r="H538" s="155"/>
    </row>
    <row r="539" spans="1:8" ht="36">
      <c r="A539" s="157" t="s">
        <v>1313</v>
      </c>
      <c r="B539" s="147" t="s">
        <v>432</v>
      </c>
      <c r="C539" s="147" t="s">
        <v>405</v>
      </c>
      <c r="D539" s="147" t="s">
        <v>850</v>
      </c>
      <c r="E539" s="147"/>
      <c r="F539" s="155">
        <f>F540+F546+F560</f>
        <v>223335.19999999998</v>
      </c>
      <c r="G539" s="155">
        <f>F539-H539</f>
        <v>223335.19999999998</v>
      </c>
      <c r="H539" s="155"/>
    </row>
    <row r="540" spans="1:8" ht="24">
      <c r="A540" s="157" t="s">
        <v>849</v>
      </c>
      <c r="B540" s="147" t="s">
        <v>432</v>
      </c>
      <c r="C540" s="147" t="s">
        <v>405</v>
      </c>
      <c r="D540" s="147" t="s">
        <v>854</v>
      </c>
      <c r="E540" s="147"/>
      <c r="F540" s="155">
        <f>F542</f>
        <v>39775</v>
      </c>
      <c r="G540" s="155">
        <f>G542</f>
        <v>39775</v>
      </c>
      <c r="H540" s="155"/>
    </row>
    <row r="541" spans="1:8" ht="24">
      <c r="A541" s="157" t="s">
        <v>853</v>
      </c>
      <c r="B541" s="147" t="s">
        <v>432</v>
      </c>
      <c r="C541" s="147" t="s">
        <v>405</v>
      </c>
      <c r="D541" s="147" t="s">
        <v>851</v>
      </c>
      <c r="E541" s="147"/>
      <c r="F541" s="155">
        <f>F542</f>
        <v>39775</v>
      </c>
      <c r="G541" s="155">
        <f>G542</f>
        <v>39775</v>
      </c>
      <c r="H541" s="155"/>
    </row>
    <row r="542" spans="1:8" ht="24">
      <c r="A542" s="153" t="s">
        <v>985</v>
      </c>
      <c r="B542" s="147" t="s">
        <v>432</v>
      </c>
      <c r="C542" s="147" t="s">
        <v>405</v>
      </c>
      <c r="D542" s="147" t="s">
        <v>851</v>
      </c>
      <c r="E542" s="147" t="s">
        <v>986</v>
      </c>
      <c r="F542" s="155">
        <f>F543+F544+F545</f>
        <v>39775</v>
      </c>
      <c r="G542" s="155">
        <f>F542-H542</f>
        <v>39775</v>
      </c>
      <c r="H542" s="155"/>
    </row>
    <row r="543" spans="1:8" ht="60">
      <c r="A543" s="152" t="s">
        <v>754</v>
      </c>
      <c r="B543" s="147" t="s">
        <v>432</v>
      </c>
      <c r="C543" s="147" t="s">
        <v>405</v>
      </c>
      <c r="D543" s="147" t="s">
        <v>851</v>
      </c>
      <c r="E543" s="147" t="s">
        <v>556</v>
      </c>
      <c r="F543" s="158">
        <f>20000</f>
        <v>20000</v>
      </c>
      <c r="G543" s="155">
        <f>F543-H543</f>
        <v>20000</v>
      </c>
      <c r="H543" s="158"/>
    </row>
    <row r="544" spans="1:8" ht="60">
      <c r="A544" s="152" t="s">
        <v>1545</v>
      </c>
      <c r="B544" s="147" t="s">
        <v>432</v>
      </c>
      <c r="C544" s="147" t="s">
        <v>405</v>
      </c>
      <c r="D544" s="147" t="s">
        <v>851</v>
      </c>
      <c r="E544" s="147" t="s">
        <v>556</v>
      </c>
      <c r="F544" s="158">
        <f>4275+12000</f>
        <v>16275</v>
      </c>
      <c r="G544" s="155">
        <f>F544</f>
        <v>16275</v>
      </c>
      <c r="H544" s="158"/>
    </row>
    <row r="545" spans="1:8" ht="60">
      <c r="A545" s="152" t="s">
        <v>1726</v>
      </c>
      <c r="B545" s="147" t="s">
        <v>432</v>
      </c>
      <c r="C545" s="147" t="s">
        <v>405</v>
      </c>
      <c r="D545" s="147" t="s">
        <v>851</v>
      </c>
      <c r="E545" s="147" t="s">
        <v>556</v>
      </c>
      <c r="F545" s="158">
        <v>3500</v>
      </c>
      <c r="G545" s="155">
        <f>F545</f>
        <v>3500</v>
      </c>
      <c r="H545" s="158"/>
    </row>
    <row r="546" spans="1:8" ht="48">
      <c r="A546" s="152" t="s">
        <v>310</v>
      </c>
      <c r="B546" s="147" t="s">
        <v>432</v>
      </c>
      <c r="C546" s="147" t="s">
        <v>405</v>
      </c>
      <c r="D546" s="147" t="s">
        <v>855</v>
      </c>
      <c r="E546" s="147"/>
      <c r="F546" s="155">
        <f>F547+F557+F554</f>
        <v>183560.19999999998</v>
      </c>
      <c r="G546" s="155">
        <f>G547+G557</f>
        <v>174060.19999999998</v>
      </c>
      <c r="H546" s="158"/>
    </row>
    <row r="547" spans="1:8" ht="36">
      <c r="A547" s="152" t="s">
        <v>856</v>
      </c>
      <c r="B547" s="147" t="s">
        <v>432</v>
      </c>
      <c r="C547" s="147" t="s">
        <v>405</v>
      </c>
      <c r="D547" s="147" t="s">
        <v>857</v>
      </c>
      <c r="E547" s="147"/>
      <c r="F547" s="155">
        <f>F548</f>
        <v>170922.8</v>
      </c>
      <c r="G547" s="155">
        <f>G548</f>
        <v>170922.8</v>
      </c>
      <c r="H547" s="158"/>
    </row>
    <row r="548" spans="1:8" ht="36">
      <c r="A548" s="152" t="s">
        <v>461</v>
      </c>
      <c r="B548" s="147" t="s">
        <v>432</v>
      </c>
      <c r="C548" s="147" t="s">
        <v>405</v>
      </c>
      <c r="D548" s="147" t="s">
        <v>857</v>
      </c>
      <c r="E548" s="147" t="s">
        <v>1167</v>
      </c>
      <c r="F548" s="155">
        <f>F549</f>
        <v>170922.8</v>
      </c>
      <c r="G548" s="155">
        <f aca="true" t="shared" si="33" ref="G548:G559">F548-H548</f>
        <v>170922.8</v>
      </c>
      <c r="H548" s="158"/>
    </row>
    <row r="549" spans="1:8" ht="60">
      <c r="A549" s="152" t="s">
        <v>444</v>
      </c>
      <c r="B549" s="147" t="s">
        <v>432</v>
      </c>
      <c r="C549" s="147" t="s">
        <v>405</v>
      </c>
      <c r="D549" s="147" t="s">
        <v>857</v>
      </c>
      <c r="E549" s="147" t="s">
        <v>881</v>
      </c>
      <c r="F549" s="279">
        <f>SUM(F550:F553)</f>
        <v>170922.8</v>
      </c>
      <c r="G549" s="155">
        <f t="shared" si="33"/>
        <v>170922.8</v>
      </c>
      <c r="H549" s="158"/>
    </row>
    <row r="550" spans="1:8" ht="24">
      <c r="A550" s="152" t="s">
        <v>833</v>
      </c>
      <c r="B550" s="147" t="s">
        <v>432</v>
      </c>
      <c r="C550" s="147" t="s">
        <v>405</v>
      </c>
      <c r="D550" s="147" t="s">
        <v>857</v>
      </c>
      <c r="E550" s="147" t="s">
        <v>881</v>
      </c>
      <c r="F550" s="158">
        <f>30000-30000</f>
        <v>0</v>
      </c>
      <c r="G550" s="155">
        <f t="shared" si="33"/>
        <v>0</v>
      </c>
      <c r="H550" s="158"/>
    </row>
    <row r="551" spans="1:8" ht="36">
      <c r="A551" s="152" t="s">
        <v>311</v>
      </c>
      <c r="B551" s="147" t="s">
        <v>432</v>
      </c>
      <c r="C551" s="147" t="s">
        <v>405</v>
      </c>
      <c r="D551" s="147" t="s">
        <v>857</v>
      </c>
      <c r="E551" s="147" t="s">
        <v>881</v>
      </c>
      <c r="F551" s="158">
        <v>170922.8</v>
      </c>
      <c r="G551" s="155">
        <f t="shared" si="33"/>
        <v>170922.8</v>
      </c>
      <c r="H551" s="158"/>
    </row>
    <row r="552" spans="1:8" ht="60">
      <c r="A552" s="152" t="s">
        <v>1727</v>
      </c>
      <c r="B552" s="147" t="s">
        <v>432</v>
      </c>
      <c r="C552" s="147" t="s">
        <v>405</v>
      </c>
      <c r="D552" s="147" t="s">
        <v>857</v>
      </c>
      <c r="E552" s="147" t="s">
        <v>881</v>
      </c>
      <c r="F552" s="158">
        <f>8014-8014</f>
        <v>0</v>
      </c>
      <c r="G552" s="155">
        <f>F552-H552</f>
        <v>0</v>
      </c>
      <c r="H552" s="158"/>
    </row>
    <row r="553" spans="1:8" ht="48">
      <c r="A553" s="152" t="s">
        <v>1728</v>
      </c>
      <c r="B553" s="147" t="s">
        <v>432</v>
      </c>
      <c r="C553" s="147" t="s">
        <v>405</v>
      </c>
      <c r="D553" s="147" t="s">
        <v>857</v>
      </c>
      <c r="E553" s="147" t="s">
        <v>881</v>
      </c>
      <c r="F553" s="158">
        <f>12215.3-12215.3</f>
        <v>0</v>
      </c>
      <c r="G553" s="155">
        <f>F553-H553</f>
        <v>0</v>
      </c>
      <c r="H553" s="158"/>
    </row>
    <row r="554" spans="1:8" ht="36">
      <c r="A554" s="152" t="s">
        <v>1655</v>
      </c>
      <c r="B554" s="147" t="s">
        <v>432</v>
      </c>
      <c r="C554" s="147" t="s">
        <v>405</v>
      </c>
      <c r="D554" s="147" t="s">
        <v>1656</v>
      </c>
      <c r="E554" s="147"/>
      <c r="F554" s="279">
        <f>F555</f>
        <v>9500</v>
      </c>
      <c r="G554" s="155">
        <f>G555</f>
        <v>9500</v>
      </c>
      <c r="H554" s="158"/>
    </row>
    <row r="555" spans="1:8" ht="24">
      <c r="A555" s="153" t="s">
        <v>1066</v>
      </c>
      <c r="B555" s="147" t="s">
        <v>432</v>
      </c>
      <c r="C555" s="147" t="s">
        <v>405</v>
      </c>
      <c r="D555" s="147" t="s">
        <v>1656</v>
      </c>
      <c r="E555" s="147" t="s">
        <v>529</v>
      </c>
      <c r="F555" s="279">
        <f>F556</f>
        <v>9500</v>
      </c>
      <c r="G555" s="155">
        <f>G556</f>
        <v>9500</v>
      </c>
      <c r="H555" s="158"/>
    </row>
    <row r="556" spans="1:8" ht="24">
      <c r="A556" s="153" t="s">
        <v>974</v>
      </c>
      <c r="B556" s="147" t="s">
        <v>432</v>
      </c>
      <c r="C556" s="147" t="s">
        <v>405</v>
      </c>
      <c r="D556" s="147" t="s">
        <v>1656</v>
      </c>
      <c r="E556" s="147" t="s">
        <v>429</v>
      </c>
      <c r="F556" s="158">
        <f>5500+4000</f>
        <v>9500</v>
      </c>
      <c r="G556" s="155">
        <f>F556</f>
        <v>9500</v>
      </c>
      <c r="H556" s="158"/>
    </row>
    <row r="557" spans="1:8" ht="60">
      <c r="A557" s="152" t="s">
        <v>1595</v>
      </c>
      <c r="B557" s="147" t="s">
        <v>432</v>
      </c>
      <c r="C557" s="147" t="s">
        <v>405</v>
      </c>
      <c r="D557" s="147" t="s">
        <v>1596</v>
      </c>
      <c r="E557" s="147"/>
      <c r="F557" s="279">
        <f>F558</f>
        <v>3137.4</v>
      </c>
      <c r="G557" s="155">
        <f t="shared" si="33"/>
        <v>3137.4</v>
      </c>
      <c r="H557" s="158"/>
    </row>
    <row r="558" spans="1:8" ht="24">
      <c r="A558" s="153" t="s">
        <v>1066</v>
      </c>
      <c r="B558" s="147" t="s">
        <v>432</v>
      </c>
      <c r="C558" s="147" t="s">
        <v>405</v>
      </c>
      <c r="D558" s="147" t="s">
        <v>1596</v>
      </c>
      <c r="E558" s="147" t="s">
        <v>529</v>
      </c>
      <c r="F558" s="279">
        <f>F559</f>
        <v>3137.4</v>
      </c>
      <c r="G558" s="155">
        <f t="shared" si="33"/>
        <v>3137.4</v>
      </c>
      <c r="H558" s="158"/>
    </row>
    <row r="559" spans="1:8" ht="24">
      <c r="A559" s="153" t="s">
        <v>974</v>
      </c>
      <c r="B559" s="147" t="s">
        <v>432</v>
      </c>
      <c r="C559" s="147" t="s">
        <v>405</v>
      </c>
      <c r="D559" s="147" t="s">
        <v>1596</v>
      </c>
      <c r="E559" s="147" t="s">
        <v>429</v>
      </c>
      <c r="F559" s="158">
        <v>3137.4</v>
      </c>
      <c r="G559" s="155">
        <f t="shared" si="33"/>
        <v>3137.4</v>
      </c>
      <c r="H559" s="158"/>
    </row>
    <row r="560" spans="1:8" ht="36">
      <c r="A560" s="152" t="s">
        <v>39</v>
      </c>
      <c r="B560" s="147" t="s">
        <v>432</v>
      </c>
      <c r="C560" s="147" t="s">
        <v>405</v>
      </c>
      <c r="D560" s="170" t="s">
        <v>858</v>
      </c>
      <c r="E560" s="147"/>
      <c r="F560" s="155">
        <f>F561+F564</f>
        <v>0</v>
      </c>
      <c r="G560" s="155">
        <f>F560</f>
        <v>0</v>
      </c>
      <c r="H560" s="158"/>
    </row>
    <row r="561" spans="1:8" ht="60">
      <c r="A561" s="152" t="s">
        <v>304</v>
      </c>
      <c r="B561" s="147" t="s">
        <v>432</v>
      </c>
      <c r="C561" s="147" t="s">
        <v>405</v>
      </c>
      <c r="D561" s="170" t="s">
        <v>588</v>
      </c>
      <c r="E561" s="147"/>
      <c r="F561" s="155">
        <f>F562</f>
        <v>0</v>
      </c>
      <c r="G561" s="155">
        <f>G562</f>
        <v>0</v>
      </c>
      <c r="H561" s="158"/>
    </row>
    <row r="562" spans="1:8" ht="24">
      <c r="A562" s="153" t="s">
        <v>1066</v>
      </c>
      <c r="B562" s="147" t="s">
        <v>432</v>
      </c>
      <c r="C562" s="147" t="s">
        <v>405</v>
      </c>
      <c r="D562" s="170" t="s">
        <v>588</v>
      </c>
      <c r="E562" s="147" t="s">
        <v>529</v>
      </c>
      <c r="F562" s="155">
        <f>F563</f>
        <v>0</v>
      </c>
      <c r="G562" s="155">
        <f>G563</f>
        <v>0</v>
      </c>
      <c r="H562" s="158"/>
    </row>
    <row r="563" spans="1:8" ht="24">
      <c r="A563" s="153" t="s">
        <v>974</v>
      </c>
      <c r="B563" s="147" t="s">
        <v>432</v>
      </c>
      <c r="C563" s="147" t="s">
        <v>405</v>
      </c>
      <c r="D563" s="170" t="s">
        <v>588</v>
      </c>
      <c r="E563" s="147" t="s">
        <v>429</v>
      </c>
      <c r="F563" s="158">
        <v>0</v>
      </c>
      <c r="G563" s="155">
        <f>F563-H563</f>
        <v>0</v>
      </c>
      <c r="H563" s="158"/>
    </row>
    <row r="564" spans="1:8" ht="24">
      <c r="A564" s="179" t="s">
        <v>560</v>
      </c>
      <c r="B564" s="147" t="s">
        <v>432</v>
      </c>
      <c r="C564" s="147" t="s">
        <v>405</v>
      </c>
      <c r="D564" s="170" t="s">
        <v>859</v>
      </c>
      <c r="E564" s="147"/>
      <c r="F564" s="155">
        <f aca="true" t="shared" si="34" ref="F564:H565">F565</f>
        <v>0</v>
      </c>
      <c r="G564" s="155">
        <f t="shared" si="34"/>
        <v>0</v>
      </c>
      <c r="H564" s="158">
        <f t="shared" si="34"/>
        <v>0</v>
      </c>
    </row>
    <row r="565" spans="1:8" ht="24">
      <c r="A565" s="153" t="s">
        <v>1066</v>
      </c>
      <c r="B565" s="147" t="s">
        <v>432</v>
      </c>
      <c r="C565" s="147" t="s">
        <v>405</v>
      </c>
      <c r="D565" s="170" t="s">
        <v>859</v>
      </c>
      <c r="E565" s="147" t="s">
        <v>529</v>
      </c>
      <c r="F565" s="155">
        <f t="shared" si="34"/>
        <v>0</v>
      </c>
      <c r="G565" s="155">
        <f t="shared" si="34"/>
        <v>0</v>
      </c>
      <c r="H565" s="158">
        <f t="shared" si="34"/>
        <v>0</v>
      </c>
    </row>
    <row r="566" spans="1:8" ht="24">
      <c r="A566" s="153" t="s">
        <v>591</v>
      </c>
      <c r="B566" s="147" t="s">
        <v>432</v>
      </c>
      <c r="C566" s="147" t="s">
        <v>405</v>
      </c>
      <c r="D566" s="170" t="s">
        <v>859</v>
      </c>
      <c r="E566" s="147" t="s">
        <v>429</v>
      </c>
      <c r="F566" s="158">
        <v>0</v>
      </c>
      <c r="G566" s="155">
        <f>F566</f>
        <v>0</v>
      </c>
      <c r="H566" s="158"/>
    </row>
    <row r="567" spans="1:8" ht="15">
      <c r="A567" s="162" t="s">
        <v>698</v>
      </c>
      <c r="B567" s="147" t="s">
        <v>432</v>
      </c>
      <c r="C567" s="147" t="s">
        <v>436</v>
      </c>
      <c r="D567" s="170"/>
      <c r="E567" s="147"/>
      <c r="F567" s="155">
        <f>F568+F619+F638+F656+F682+F632</f>
        <v>648314.6</v>
      </c>
      <c r="G567" s="155">
        <f>G568+G619+G638+G656+G682+G632</f>
        <v>618314.6</v>
      </c>
      <c r="H567" s="155">
        <f>H568+H619+H638+H656+H682+H632</f>
        <v>0</v>
      </c>
    </row>
    <row r="568" spans="1:8" ht="36">
      <c r="A568" s="171" t="s">
        <v>1308</v>
      </c>
      <c r="B568" s="147" t="s">
        <v>432</v>
      </c>
      <c r="C568" s="147" t="s">
        <v>436</v>
      </c>
      <c r="D568" s="147" t="s">
        <v>270</v>
      </c>
      <c r="E568" s="147"/>
      <c r="F568" s="155">
        <f>F608+F569</f>
        <v>426263</v>
      </c>
      <c r="G568" s="155">
        <f>G608+G569</f>
        <v>426263</v>
      </c>
      <c r="H568" s="155">
        <f>H608+H569</f>
        <v>0</v>
      </c>
    </row>
    <row r="569" spans="1:8" ht="36">
      <c r="A569" s="153" t="s">
        <v>1309</v>
      </c>
      <c r="B569" s="147" t="s">
        <v>432</v>
      </c>
      <c r="C569" s="147" t="s">
        <v>436</v>
      </c>
      <c r="D569" s="147" t="s">
        <v>271</v>
      </c>
      <c r="E569" s="147"/>
      <c r="F569" s="155">
        <f>F570+F601</f>
        <v>364850.5</v>
      </c>
      <c r="G569" s="155">
        <f>G570+G601</f>
        <v>364850.5</v>
      </c>
      <c r="H569" s="155">
        <f>H570+H601</f>
        <v>0</v>
      </c>
    </row>
    <row r="570" spans="1:8" ht="24">
      <c r="A570" s="153" t="s">
        <v>579</v>
      </c>
      <c r="B570" s="147" t="s">
        <v>432</v>
      </c>
      <c r="C570" s="147" t="s">
        <v>436</v>
      </c>
      <c r="D570" s="147" t="s">
        <v>272</v>
      </c>
      <c r="E570" s="147"/>
      <c r="F570" s="155">
        <f>F571+F574+F598+F592+F595</f>
        <v>213985.4</v>
      </c>
      <c r="G570" s="155">
        <f>G571+G574+G598+G592+G595</f>
        <v>213985.4</v>
      </c>
      <c r="H570" s="155">
        <f>H571+H574+H598+H592</f>
        <v>0</v>
      </c>
    </row>
    <row r="571" spans="1:8" ht="48">
      <c r="A571" s="152" t="s">
        <v>123</v>
      </c>
      <c r="B571" s="147" t="s">
        <v>432</v>
      </c>
      <c r="C571" s="147" t="s">
        <v>436</v>
      </c>
      <c r="D571" s="147" t="s">
        <v>1005</v>
      </c>
      <c r="E571" s="147"/>
      <c r="F571" s="155">
        <f>F572</f>
        <v>12642</v>
      </c>
      <c r="G571" s="155">
        <f>F571-H571</f>
        <v>12642</v>
      </c>
      <c r="H571" s="158"/>
    </row>
    <row r="572" spans="1:8" ht="36">
      <c r="A572" s="152" t="s">
        <v>490</v>
      </c>
      <c r="B572" s="147" t="s">
        <v>432</v>
      </c>
      <c r="C572" s="147" t="s">
        <v>436</v>
      </c>
      <c r="D572" s="147" t="s">
        <v>1005</v>
      </c>
      <c r="E572" s="147" t="s">
        <v>489</v>
      </c>
      <c r="F572" s="155">
        <f>F573</f>
        <v>12642</v>
      </c>
      <c r="G572" s="155">
        <f>F572-H572</f>
        <v>12642</v>
      </c>
      <c r="H572" s="158"/>
    </row>
    <row r="573" spans="1:8" ht="24">
      <c r="A573" s="157" t="s">
        <v>573</v>
      </c>
      <c r="B573" s="147" t="s">
        <v>432</v>
      </c>
      <c r="C573" s="147" t="s">
        <v>436</v>
      </c>
      <c r="D573" s="147" t="s">
        <v>1005</v>
      </c>
      <c r="E573" s="147" t="s">
        <v>574</v>
      </c>
      <c r="F573" s="158">
        <f>13600-958</f>
        <v>12642</v>
      </c>
      <c r="G573" s="155">
        <f>F573-H573</f>
        <v>12642</v>
      </c>
      <c r="H573" s="158"/>
    </row>
    <row r="574" spans="1:8" ht="24">
      <c r="A574" s="157" t="s">
        <v>1006</v>
      </c>
      <c r="B574" s="147" t="s">
        <v>432</v>
      </c>
      <c r="C574" s="147" t="s">
        <v>436</v>
      </c>
      <c r="D574" s="147" t="s">
        <v>1007</v>
      </c>
      <c r="E574" s="147"/>
      <c r="F574" s="155">
        <f>F575+F578</f>
        <v>191425.1</v>
      </c>
      <c r="G574" s="155">
        <f>F574-H574</f>
        <v>191425.1</v>
      </c>
      <c r="H574" s="158"/>
    </row>
    <row r="575" spans="1:8" ht="36">
      <c r="A575" s="153" t="s">
        <v>461</v>
      </c>
      <c r="B575" s="147" t="s">
        <v>432</v>
      </c>
      <c r="C575" s="147" t="s">
        <v>436</v>
      </c>
      <c r="D575" s="147" t="s">
        <v>1007</v>
      </c>
      <c r="E575" s="147" t="s">
        <v>1167</v>
      </c>
      <c r="F575" s="311">
        <f>F576</f>
        <v>10108.5</v>
      </c>
      <c r="G575" s="311">
        <f>G576</f>
        <v>10108.5</v>
      </c>
      <c r="H575" s="158"/>
    </row>
    <row r="576" spans="1:8" ht="24">
      <c r="A576" s="153" t="s">
        <v>1546</v>
      </c>
      <c r="B576" s="147" t="s">
        <v>432</v>
      </c>
      <c r="C576" s="147" t="s">
        <v>436</v>
      </c>
      <c r="D576" s="147" t="s">
        <v>1007</v>
      </c>
      <c r="E576" s="147" t="s">
        <v>825</v>
      </c>
      <c r="F576" s="311">
        <f>F577</f>
        <v>10108.5</v>
      </c>
      <c r="G576" s="311">
        <f>G577</f>
        <v>10108.5</v>
      </c>
      <c r="H576" s="158"/>
    </row>
    <row r="577" spans="1:8" ht="60">
      <c r="A577" s="153" t="s">
        <v>1547</v>
      </c>
      <c r="B577" s="147" t="s">
        <v>432</v>
      </c>
      <c r="C577" s="147" t="s">
        <v>436</v>
      </c>
      <c r="D577" s="147" t="s">
        <v>1007</v>
      </c>
      <c r="E577" s="147" t="s">
        <v>825</v>
      </c>
      <c r="F577" s="154">
        <f>2222+9278-1391.5</f>
        <v>10108.5</v>
      </c>
      <c r="G577" s="154">
        <f>F577</f>
        <v>10108.5</v>
      </c>
      <c r="H577" s="158"/>
    </row>
    <row r="578" spans="1:8" ht="36">
      <c r="A578" s="152" t="s">
        <v>490</v>
      </c>
      <c r="B578" s="147" t="s">
        <v>432</v>
      </c>
      <c r="C578" s="147" t="s">
        <v>436</v>
      </c>
      <c r="D578" s="147" t="s">
        <v>1007</v>
      </c>
      <c r="E578" s="147" t="s">
        <v>489</v>
      </c>
      <c r="F578" s="155">
        <f>F579</f>
        <v>181316.6</v>
      </c>
      <c r="G578" s="155">
        <f>F578-H578</f>
        <v>181316.6</v>
      </c>
      <c r="H578" s="158"/>
    </row>
    <row r="579" spans="1:8" ht="24">
      <c r="A579" s="157" t="s">
        <v>491</v>
      </c>
      <c r="B579" s="147" t="s">
        <v>432</v>
      </c>
      <c r="C579" s="147" t="s">
        <v>436</v>
      </c>
      <c r="D579" s="147" t="s">
        <v>1007</v>
      </c>
      <c r="E579" s="147" t="s">
        <v>574</v>
      </c>
      <c r="F579" s="158">
        <f>101407.1+F580+F581+F582-1200+F583+F584+1500+F585+200+1000+600+500+F586+F587+4940+F588+365+F589+800+32000+F590-2500+1500+960+F591</f>
        <v>181316.6</v>
      </c>
      <c r="G579" s="155">
        <f>F579-H579</f>
        <v>181316.6</v>
      </c>
      <c r="H579" s="158"/>
    </row>
    <row r="580" spans="1:8" ht="36">
      <c r="A580" s="157" t="s">
        <v>1314</v>
      </c>
      <c r="B580" s="147" t="s">
        <v>432</v>
      </c>
      <c r="C580" s="147" t="s">
        <v>436</v>
      </c>
      <c r="D580" s="147" t="s">
        <v>1007</v>
      </c>
      <c r="E580" s="147" t="s">
        <v>574</v>
      </c>
      <c r="F580" s="161">
        <f>6000+1300</f>
        <v>7300</v>
      </c>
      <c r="G580" s="155">
        <f aca="true" t="shared" si="35" ref="G580:G588">F580</f>
        <v>7300</v>
      </c>
      <c r="H580" s="158"/>
    </row>
    <row r="581" spans="1:8" ht="36">
      <c r="A581" s="174" t="s">
        <v>1315</v>
      </c>
      <c r="B581" s="147" t="s">
        <v>432</v>
      </c>
      <c r="C581" s="147" t="s">
        <v>436</v>
      </c>
      <c r="D581" s="147" t="s">
        <v>1007</v>
      </c>
      <c r="E581" s="147" t="s">
        <v>574</v>
      </c>
      <c r="F581" s="161">
        <v>2160</v>
      </c>
      <c r="G581" s="155">
        <f t="shared" si="35"/>
        <v>2160</v>
      </c>
      <c r="H581" s="158"/>
    </row>
    <row r="582" spans="1:8" ht="36">
      <c r="A582" s="174" t="s">
        <v>1316</v>
      </c>
      <c r="B582" s="147" t="s">
        <v>432</v>
      </c>
      <c r="C582" s="147" t="s">
        <v>436</v>
      </c>
      <c r="D582" s="147" t="s">
        <v>1007</v>
      </c>
      <c r="E582" s="147" t="s">
        <v>574</v>
      </c>
      <c r="F582" s="161">
        <f>15000-833</f>
        <v>14167</v>
      </c>
      <c r="G582" s="155">
        <f t="shared" si="35"/>
        <v>14167</v>
      </c>
      <c r="H582" s="158"/>
    </row>
    <row r="583" spans="1:8" ht="36">
      <c r="A583" s="174" t="s">
        <v>1548</v>
      </c>
      <c r="B583" s="147" t="s">
        <v>432</v>
      </c>
      <c r="C583" s="147" t="s">
        <v>436</v>
      </c>
      <c r="D583" s="147" t="s">
        <v>1007</v>
      </c>
      <c r="E583" s="147" t="s">
        <v>574</v>
      </c>
      <c r="F583" s="161">
        <v>4424.1</v>
      </c>
      <c r="G583" s="155">
        <f t="shared" si="35"/>
        <v>4424.1</v>
      </c>
      <c r="H583" s="158"/>
    </row>
    <row r="584" spans="1:8" ht="48">
      <c r="A584" s="174" t="s">
        <v>1549</v>
      </c>
      <c r="B584" s="147" t="s">
        <v>432</v>
      </c>
      <c r="C584" s="147" t="s">
        <v>436</v>
      </c>
      <c r="D584" s="147" t="s">
        <v>1007</v>
      </c>
      <c r="E584" s="147" t="s">
        <v>574</v>
      </c>
      <c r="F584" s="161">
        <f>1768.7+0.1</f>
        <v>1768.8</v>
      </c>
      <c r="G584" s="155">
        <f t="shared" si="35"/>
        <v>1768.8</v>
      </c>
      <c r="H584" s="158"/>
    </row>
    <row r="585" spans="1:8" ht="36">
      <c r="A585" s="174" t="s">
        <v>1550</v>
      </c>
      <c r="B585" s="147" t="s">
        <v>432</v>
      </c>
      <c r="C585" s="147" t="s">
        <v>436</v>
      </c>
      <c r="D585" s="147" t="s">
        <v>1007</v>
      </c>
      <c r="E585" s="147" t="s">
        <v>574</v>
      </c>
      <c r="F585" s="161">
        <v>958</v>
      </c>
      <c r="G585" s="155">
        <f t="shared" si="35"/>
        <v>958</v>
      </c>
      <c r="H585" s="158"/>
    </row>
    <row r="586" spans="1:8" ht="24">
      <c r="A586" s="174" t="s">
        <v>1597</v>
      </c>
      <c r="B586" s="147" t="s">
        <v>432</v>
      </c>
      <c r="C586" s="147" t="s">
        <v>436</v>
      </c>
      <c r="D586" s="147" t="s">
        <v>1007</v>
      </c>
      <c r="E586" s="147" t="s">
        <v>574</v>
      </c>
      <c r="F586" s="161">
        <v>800</v>
      </c>
      <c r="G586" s="155">
        <f t="shared" si="35"/>
        <v>800</v>
      </c>
      <c r="H586" s="158"/>
    </row>
    <row r="587" spans="1:8" ht="24">
      <c r="A587" s="174" t="s">
        <v>1598</v>
      </c>
      <c r="B587" s="147" t="s">
        <v>432</v>
      </c>
      <c r="C587" s="147" t="s">
        <v>436</v>
      </c>
      <c r="D587" s="147" t="s">
        <v>1007</v>
      </c>
      <c r="E587" s="147" t="s">
        <v>574</v>
      </c>
      <c r="F587" s="161">
        <v>260</v>
      </c>
      <c r="G587" s="155">
        <f t="shared" si="35"/>
        <v>260</v>
      </c>
      <c r="H587" s="158"/>
    </row>
    <row r="588" spans="1:8" ht="48">
      <c r="A588" s="174" t="s">
        <v>1599</v>
      </c>
      <c r="B588" s="147" t="s">
        <v>432</v>
      </c>
      <c r="C588" s="147" t="s">
        <v>436</v>
      </c>
      <c r="D588" s="147" t="s">
        <v>1007</v>
      </c>
      <c r="E588" s="147" t="s">
        <v>574</v>
      </c>
      <c r="F588" s="161">
        <f>1200-800</f>
        <v>400</v>
      </c>
      <c r="G588" s="155">
        <f t="shared" si="35"/>
        <v>400</v>
      </c>
      <c r="H588" s="158"/>
    </row>
    <row r="589" spans="1:8" ht="36">
      <c r="A589" s="305" t="s">
        <v>1657</v>
      </c>
      <c r="B589" s="147" t="s">
        <v>432</v>
      </c>
      <c r="C589" s="147" t="s">
        <v>436</v>
      </c>
      <c r="D589" s="147" t="s">
        <v>1007</v>
      </c>
      <c r="E589" s="147" t="s">
        <v>574</v>
      </c>
      <c r="F589" s="161">
        <v>3206.4</v>
      </c>
      <c r="G589" s="155">
        <f>F589</f>
        <v>3206.4</v>
      </c>
      <c r="H589" s="158"/>
    </row>
    <row r="590" spans="1:8" ht="36">
      <c r="A590" s="305" t="s">
        <v>1658</v>
      </c>
      <c r="B590" s="147" t="s">
        <v>432</v>
      </c>
      <c r="C590" s="147" t="s">
        <v>436</v>
      </c>
      <c r="D590" s="147" t="s">
        <v>1007</v>
      </c>
      <c r="E590" s="147" t="s">
        <v>574</v>
      </c>
      <c r="F590" s="161">
        <v>3309</v>
      </c>
      <c r="G590" s="155">
        <f>F590</f>
        <v>3309</v>
      </c>
      <c r="H590" s="158"/>
    </row>
    <row r="591" spans="1:8" ht="36">
      <c r="A591" s="305" t="s">
        <v>1788</v>
      </c>
      <c r="B591" s="147" t="s">
        <v>432</v>
      </c>
      <c r="C591" s="147" t="s">
        <v>436</v>
      </c>
      <c r="D591" s="147" t="s">
        <v>1007</v>
      </c>
      <c r="E591" s="147" t="s">
        <v>574</v>
      </c>
      <c r="F591" s="161">
        <v>491.2</v>
      </c>
      <c r="G591" s="155">
        <f>F591</f>
        <v>491.2</v>
      </c>
      <c r="H591" s="158"/>
    </row>
    <row r="592" spans="1:8" ht="48">
      <c r="A592" s="174" t="s">
        <v>1221</v>
      </c>
      <c r="B592" s="147" t="s">
        <v>1222</v>
      </c>
      <c r="C592" s="147" t="s">
        <v>436</v>
      </c>
      <c r="D592" s="147" t="s">
        <v>1223</v>
      </c>
      <c r="E592" s="147"/>
      <c r="F592" s="155">
        <f>F593</f>
        <v>0</v>
      </c>
      <c r="G592" s="155">
        <f>F592-H592</f>
        <v>0</v>
      </c>
      <c r="H592" s="158"/>
    </row>
    <row r="593" spans="1:8" ht="24">
      <c r="A593" s="153" t="s">
        <v>1066</v>
      </c>
      <c r="B593" s="147" t="s">
        <v>1222</v>
      </c>
      <c r="C593" s="147" t="s">
        <v>436</v>
      </c>
      <c r="D593" s="147" t="s">
        <v>1223</v>
      </c>
      <c r="E593" s="147" t="s">
        <v>529</v>
      </c>
      <c r="F593" s="155">
        <f>F594</f>
        <v>0</v>
      </c>
      <c r="G593" s="155">
        <f>F593-H593</f>
        <v>0</v>
      </c>
      <c r="H593" s="158"/>
    </row>
    <row r="594" spans="1:8" ht="24">
      <c r="A594" s="153" t="s">
        <v>974</v>
      </c>
      <c r="B594" s="147" t="s">
        <v>1222</v>
      </c>
      <c r="C594" s="147" t="s">
        <v>436</v>
      </c>
      <c r="D594" s="147" t="s">
        <v>1223</v>
      </c>
      <c r="E594" s="147" t="s">
        <v>429</v>
      </c>
      <c r="F594" s="161">
        <v>0</v>
      </c>
      <c r="G594" s="155">
        <f>F594-H594</f>
        <v>0</v>
      </c>
      <c r="H594" s="158"/>
    </row>
    <row r="595" spans="1:8" ht="36">
      <c r="A595" s="326" t="s">
        <v>1769</v>
      </c>
      <c r="B595" s="147" t="s">
        <v>1222</v>
      </c>
      <c r="C595" s="147" t="s">
        <v>436</v>
      </c>
      <c r="D595" s="147" t="s">
        <v>1770</v>
      </c>
      <c r="E595" s="147"/>
      <c r="F595" s="325">
        <f>F596</f>
        <v>94</v>
      </c>
      <c r="G595" s="155">
        <f>G596</f>
        <v>94</v>
      </c>
      <c r="H595" s="325"/>
    </row>
    <row r="596" spans="1:8" ht="24">
      <c r="A596" s="153" t="s">
        <v>1066</v>
      </c>
      <c r="B596" s="147" t="s">
        <v>1222</v>
      </c>
      <c r="C596" s="147" t="s">
        <v>436</v>
      </c>
      <c r="D596" s="147" t="s">
        <v>1770</v>
      </c>
      <c r="E596" s="147" t="s">
        <v>529</v>
      </c>
      <c r="F596" s="325">
        <f>F597</f>
        <v>94</v>
      </c>
      <c r="G596" s="155">
        <f>G597</f>
        <v>94</v>
      </c>
      <c r="H596" s="325"/>
    </row>
    <row r="597" spans="1:8" ht="24">
      <c r="A597" s="153" t="s">
        <v>974</v>
      </c>
      <c r="B597" s="147" t="s">
        <v>1222</v>
      </c>
      <c r="C597" s="147" t="s">
        <v>436</v>
      </c>
      <c r="D597" s="147" t="s">
        <v>1770</v>
      </c>
      <c r="E597" s="147" t="s">
        <v>429</v>
      </c>
      <c r="F597" s="161">
        <v>94</v>
      </c>
      <c r="G597" s="155">
        <f>F597</f>
        <v>94</v>
      </c>
      <c r="H597" s="325"/>
    </row>
    <row r="598" spans="1:8" ht="48">
      <c r="A598" s="174" t="s">
        <v>1224</v>
      </c>
      <c r="B598" s="147" t="s">
        <v>1222</v>
      </c>
      <c r="C598" s="147" t="s">
        <v>436</v>
      </c>
      <c r="D598" s="147" t="s">
        <v>1225</v>
      </c>
      <c r="E598" s="147"/>
      <c r="F598" s="155">
        <f>F599</f>
        <v>9824.3</v>
      </c>
      <c r="G598" s="155">
        <f>G599</f>
        <v>9824.3</v>
      </c>
      <c r="H598" s="158"/>
    </row>
    <row r="599" spans="1:8" ht="24">
      <c r="A599" s="153" t="s">
        <v>1066</v>
      </c>
      <c r="B599" s="147" t="s">
        <v>1222</v>
      </c>
      <c r="C599" s="147" t="s">
        <v>436</v>
      </c>
      <c r="D599" s="147" t="s">
        <v>1225</v>
      </c>
      <c r="E599" s="147" t="s">
        <v>529</v>
      </c>
      <c r="F599" s="155">
        <f>F600</f>
        <v>9824.3</v>
      </c>
      <c r="G599" s="155">
        <f>G600</f>
        <v>9824.3</v>
      </c>
      <c r="H599" s="158"/>
    </row>
    <row r="600" spans="1:8" ht="24">
      <c r="A600" s="153" t="s">
        <v>974</v>
      </c>
      <c r="B600" s="147" t="s">
        <v>1222</v>
      </c>
      <c r="C600" s="147" t="s">
        <v>436</v>
      </c>
      <c r="D600" s="147" t="s">
        <v>1225</v>
      </c>
      <c r="E600" s="147" t="s">
        <v>429</v>
      </c>
      <c r="F600" s="161">
        <v>9824.3</v>
      </c>
      <c r="G600" s="155">
        <f>F600</f>
        <v>9824.3</v>
      </c>
      <c r="H600" s="158"/>
    </row>
    <row r="601" spans="1:8" ht="24">
      <c r="A601" s="153" t="s">
        <v>1600</v>
      </c>
      <c r="B601" s="147" t="s">
        <v>1222</v>
      </c>
      <c r="C601" s="147" t="s">
        <v>436</v>
      </c>
      <c r="D601" s="147" t="s">
        <v>1601</v>
      </c>
      <c r="E601" s="147"/>
      <c r="F601" s="279">
        <f>F602+F605</f>
        <v>150865.1</v>
      </c>
      <c r="G601" s="279">
        <f>G602+G605</f>
        <v>150865.1</v>
      </c>
      <c r="H601" s="279">
        <f>H602+H605</f>
        <v>0</v>
      </c>
    </row>
    <row r="602" spans="1:8" ht="144">
      <c r="A602" s="153" t="s">
        <v>1713</v>
      </c>
      <c r="B602" s="147" t="s">
        <v>1222</v>
      </c>
      <c r="C602" s="147" t="s">
        <v>436</v>
      </c>
      <c r="D602" s="147" t="s">
        <v>1714</v>
      </c>
      <c r="E602" s="147"/>
      <c r="F602" s="279">
        <f>F603</f>
        <v>142500</v>
      </c>
      <c r="G602" s="279">
        <f>F602-H602</f>
        <v>142500</v>
      </c>
      <c r="H602" s="158"/>
    </row>
    <row r="603" spans="1:8" ht="24">
      <c r="A603" s="153" t="s">
        <v>1066</v>
      </c>
      <c r="B603" s="147" t="s">
        <v>1222</v>
      </c>
      <c r="C603" s="147" t="s">
        <v>436</v>
      </c>
      <c r="D603" s="147" t="s">
        <v>1714</v>
      </c>
      <c r="E603" s="147" t="s">
        <v>529</v>
      </c>
      <c r="F603" s="279">
        <f>F604</f>
        <v>142500</v>
      </c>
      <c r="G603" s="279">
        <f>F603-H603</f>
        <v>142500</v>
      </c>
      <c r="H603" s="158"/>
    </row>
    <row r="604" spans="1:8" ht="24">
      <c r="A604" s="153" t="s">
        <v>974</v>
      </c>
      <c r="B604" s="147" t="s">
        <v>1222</v>
      </c>
      <c r="C604" s="147" t="s">
        <v>436</v>
      </c>
      <c r="D604" s="147" t="s">
        <v>1714</v>
      </c>
      <c r="E604" s="147" t="s">
        <v>429</v>
      </c>
      <c r="F604" s="158">
        <v>142500</v>
      </c>
      <c r="G604" s="279">
        <f>F604-H604</f>
        <v>142500</v>
      </c>
      <c r="H604" s="158"/>
    </row>
    <row r="605" spans="1:8" ht="60">
      <c r="A605" s="152" t="s">
        <v>1602</v>
      </c>
      <c r="B605" s="147" t="s">
        <v>1222</v>
      </c>
      <c r="C605" s="147" t="s">
        <v>436</v>
      </c>
      <c r="D605" s="147" t="s">
        <v>1603</v>
      </c>
      <c r="E605" s="147"/>
      <c r="F605" s="279">
        <f>F606</f>
        <v>8365.1</v>
      </c>
      <c r="G605" s="279">
        <f>G606</f>
        <v>8365.1</v>
      </c>
      <c r="H605" s="158"/>
    </row>
    <row r="606" spans="1:8" ht="24">
      <c r="A606" s="153" t="s">
        <v>1066</v>
      </c>
      <c r="B606" s="147" t="s">
        <v>1222</v>
      </c>
      <c r="C606" s="147" t="s">
        <v>436</v>
      </c>
      <c r="D606" s="147" t="s">
        <v>1603</v>
      </c>
      <c r="E606" s="147" t="s">
        <v>529</v>
      </c>
      <c r="F606" s="279">
        <f>F607</f>
        <v>8365.1</v>
      </c>
      <c r="G606" s="279">
        <f>G607</f>
        <v>8365.1</v>
      </c>
      <c r="H606" s="158"/>
    </row>
    <row r="607" spans="1:8" ht="24">
      <c r="A607" s="153" t="s">
        <v>974</v>
      </c>
      <c r="B607" s="147" t="s">
        <v>1222</v>
      </c>
      <c r="C607" s="147" t="s">
        <v>436</v>
      </c>
      <c r="D607" s="147" t="s">
        <v>1603</v>
      </c>
      <c r="E607" s="147" t="s">
        <v>429</v>
      </c>
      <c r="F607" s="161">
        <f>7500+665.1+200</f>
        <v>8365.1</v>
      </c>
      <c r="G607" s="155">
        <f>F607-H607</f>
        <v>8365.1</v>
      </c>
      <c r="H607" s="158"/>
    </row>
    <row r="608" spans="1:8" ht="84">
      <c r="A608" s="152" t="s">
        <v>1311</v>
      </c>
      <c r="B608" s="147" t="s">
        <v>432</v>
      </c>
      <c r="C608" s="147" t="s">
        <v>436</v>
      </c>
      <c r="D608" s="147" t="s">
        <v>846</v>
      </c>
      <c r="E608" s="147"/>
      <c r="F608" s="155">
        <f>F609</f>
        <v>61412.5</v>
      </c>
      <c r="G608" s="155">
        <f>F608-H608</f>
        <v>61412.5</v>
      </c>
      <c r="H608" s="155"/>
    </row>
    <row r="609" spans="1:8" ht="48">
      <c r="A609" s="15" t="s">
        <v>1226</v>
      </c>
      <c r="B609" s="147" t="s">
        <v>432</v>
      </c>
      <c r="C609" s="147" t="s">
        <v>436</v>
      </c>
      <c r="D609" s="147" t="s">
        <v>847</v>
      </c>
      <c r="E609" s="147"/>
      <c r="F609" s="155">
        <f>F610+F614+F616</f>
        <v>61412.5</v>
      </c>
      <c r="G609" s="155">
        <f>F609-H609</f>
        <v>61412.5</v>
      </c>
      <c r="H609" s="158"/>
    </row>
    <row r="610" spans="1:8" ht="24">
      <c r="A610" s="157" t="s">
        <v>1006</v>
      </c>
      <c r="B610" s="147" t="s">
        <v>432</v>
      </c>
      <c r="C610" s="147" t="s">
        <v>436</v>
      </c>
      <c r="D610" s="147" t="s">
        <v>1729</v>
      </c>
      <c r="E610" s="147"/>
      <c r="F610" s="155">
        <f>F611</f>
        <v>4786</v>
      </c>
      <c r="G610" s="155">
        <f>G611</f>
        <v>4786</v>
      </c>
      <c r="H610" s="158"/>
    </row>
    <row r="611" spans="1:8" ht="24">
      <c r="A611" s="153" t="s">
        <v>1066</v>
      </c>
      <c r="B611" s="147" t="s">
        <v>432</v>
      </c>
      <c r="C611" s="147" t="s">
        <v>436</v>
      </c>
      <c r="D611" s="147" t="s">
        <v>1729</v>
      </c>
      <c r="E611" s="147" t="s">
        <v>529</v>
      </c>
      <c r="F611" s="155">
        <f>F612</f>
        <v>4786</v>
      </c>
      <c r="G611" s="155">
        <f>F611-H611</f>
        <v>4786</v>
      </c>
      <c r="H611" s="158"/>
    </row>
    <row r="612" spans="1:8" ht="24">
      <c r="A612" s="153" t="s">
        <v>974</v>
      </c>
      <c r="B612" s="147" t="s">
        <v>432</v>
      </c>
      <c r="C612" s="147" t="s">
        <v>436</v>
      </c>
      <c r="D612" s="147" t="s">
        <v>1729</v>
      </c>
      <c r="E612" s="147" t="s">
        <v>429</v>
      </c>
      <c r="F612" s="158">
        <v>4786</v>
      </c>
      <c r="G612" s="155">
        <f>F612-H612</f>
        <v>4786</v>
      </c>
      <c r="H612" s="158"/>
    </row>
    <row r="613" spans="1:8" ht="30" customHeight="1">
      <c r="A613" s="15" t="s">
        <v>78</v>
      </c>
      <c r="B613" s="147" t="s">
        <v>432</v>
      </c>
      <c r="C613" s="147" t="s">
        <v>436</v>
      </c>
      <c r="D613" s="147" t="s">
        <v>79</v>
      </c>
      <c r="E613" s="147"/>
      <c r="F613" s="155">
        <f>F614</f>
        <v>55551.5</v>
      </c>
      <c r="G613" s="155">
        <f>G614</f>
        <v>55551.5</v>
      </c>
      <c r="H613" s="158"/>
    </row>
    <row r="614" spans="1:8" ht="24">
      <c r="A614" s="153" t="s">
        <v>1066</v>
      </c>
      <c r="B614" s="147" t="s">
        <v>432</v>
      </c>
      <c r="C614" s="147" t="s">
        <v>436</v>
      </c>
      <c r="D614" s="147" t="s">
        <v>79</v>
      </c>
      <c r="E614" s="147" t="s">
        <v>529</v>
      </c>
      <c r="F614" s="155">
        <f>F615</f>
        <v>55551.5</v>
      </c>
      <c r="G614" s="155">
        <f>F614-H614</f>
        <v>55551.5</v>
      </c>
      <c r="H614" s="158"/>
    </row>
    <row r="615" spans="1:8" ht="23.25" customHeight="1">
      <c r="A615" s="153" t="s">
        <v>974</v>
      </c>
      <c r="B615" s="147" t="s">
        <v>432</v>
      </c>
      <c r="C615" s="147" t="s">
        <v>436</v>
      </c>
      <c r="D615" s="147" t="s">
        <v>79</v>
      </c>
      <c r="E615" s="147" t="s">
        <v>429</v>
      </c>
      <c r="F615" s="158">
        <f>10600+21605.3+1738.9+3455.3+5282+12870</f>
        <v>55551.5</v>
      </c>
      <c r="G615" s="155">
        <f>F615-H615</f>
        <v>55551.5</v>
      </c>
      <c r="H615" s="158"/>
    </row>
    <row r="616" spans="1:8" ht="48">
      <c r="A616" s="153" t="s">
        <v>1604</v>
      </c>
      <c r="B616" s="147" t="s">
        <v>432</v>
      </c>
      <c r="C616" s="147" t="s">
        <v>436</v>
      </c>
      <c r="D616" s="147" t="s">
        <v>1605</v>
      </c>
      <c r="E616" s="147"/>
      <c r="F616" s="279">
        <f>F617</f>
        <v>1075</v>
      </c>
      <c r="G616" s="155">
        <f>F616</f>
        <v>1075</v>
      </c>
      <c r="H616" s="158"/>
    </row>
    <row r="617" spans="1:8" ht="23.25" customHeight="1">
      <c r="A617" s="153" t="s">
        <v>1066</v>
      </c>
      <c r="B617" s="147" t="s">
        <v>432</v>
      </c>
      <c r="C617" s="147" t="s">
        <v>436</v>
      </c>
      <c r="D617" s="147" t="s">
        <v>1605</v>
      </c>
      <c r="E617" s="147" t="s">
        <v>529</v>
      </c>
      <c r="F617" s="279">
        <f>F618</f>
        <v>1075</v>
      </c>
      <c r="G617" s="155">
        <f>F617</f>
        <v>1075</v>
      </c>
      <c r="H617" s="158"/>
    </row>
    <row r="618" spans="1:8" ht="24">
      <c r="A618" s="153" t="s">
        <v>974</v>
      </c>
      <c r="B618" s="147" t="s">
        <v>432</v>
      </c>
      <c r="C618" s="147" t="s">
        <v>436</v>
      </c>
      <c r="D618" s="147" t="s">
        <v>1605</v>
      </c>
      <c r="E618" s="147" t="s">
        <v>429</v>
      </c>
      <c r="F618" s="158">
        <v>1075</v>
      </c>
      <c r="G618" s="155">
        <f>F618</f>
        <v>1075</v>
      </c>
      <c r="H618" s="158"/>
    </row>
    <row r="619" spans="1:8" ht="36">
      <c r="A619" s="164" t="s">
        <v>1317</v>
      </c>
      <c r="B619" s="147" t="s">
        <v>432</v>
      </c>
      <c r="C619" s="147" t="s">
        <v>436</v>
      </c>
      <c r="D619" s="147" t="s">
        <v>137</v>
      </c>
      <c r="E619" s="147"/>
      <c r="F619" s="279">
        <f>F620</f>
        <v>22485</v>
      </c>
      <c r="G619" s="279">
        <f aca="true" t="shared" si="36" ref="G619:G625">F619</f>
        <v>22485</v>
      </c>
      <c r="H619" s="158"/>
    </row>
    <row r="620" spans="1:8" ht="36">
      <c r="A620" s="153" t="s">
        <v>1298</v>
      </c>
      <c r="B620" s="147" t="s">
        <v>432</v>
      </c>
      <c r="C620" s="147" t="s">
        <v>436</v>
      </c>
      <c r="D620" s="147" t="s">
        <v>243</v>
      </c>
      <c r="E620" s="147"/>
      <c r="F620" s="279">
        <f>F622+F626</f>
        <v>22485</v>
      </c>
      <c r="G620" s="279">
        <f t="shared" si="36"/>
        <v>22485</v>
      </c>
      <c r="H620" s="158"/>
    </row>
    <row r="621" spans="1:8" ht="36">
      <c r="A621" s="153" t="s">
        <v>1492</v>
      </c>
      <c r="B621" s="147" t="s">
        <v>432</v>
      </c>
      <c r="C621" s="147" t="s">
        <v>436</v>
      </c>
      <c r="D621" s="147" t="s">
        <v>1008</v>
      </c>
      <c r="E621" s="147"/>
      <c r="F621" s="279">
        <f>F622</f>
        <v>14176</v>
      </c>
      <c r="G621" s="279">
        <f>G622</f>
        <v>14176</v>
      </c>
      <c r="H621" s="158"/>
    </row>
    <row r="622" spans="1:8" ht="24">
      <c r="A622" s="152" t="s">
        <v>493</v>
      </c>
      <c r="B622" s="147" t="s">
        <v>432</v>
      </c>
      <c r="C622" s="147" t="s">
        <v>436</v>
      </c>
      <c r="D622" s="147" t="s">
        <v>1009</v>
      </c>
      <c r="E622" s="147"/>
      <c r="F622" s="155">
        <f>F623</f>
        <v>14176</v>
      </c>
      <c r="G622" s="155">
        <f t="shared" si="36"/>
        <v>14176</v>
      </c>
      <c r="H622" s="158"/>
    </row>
    <row r="623" spans="1:8" ht="36">
      <c r="A623" s="152" t="s">
        <v>490</v>
      </c>
      <c r="B623" s="147" t="s">
        <v>432</v>
      </c>
      <c r="C623" s="147" t="s">
        <v>436</v>
      </c>
      <c r="D623" s="147" t="s">
        <v>1009</v>
      </c>
      <c r="E623" s="147" t="s">
        <v>489</v>
      </c>
      <c r="F623" s="155">
        <f>F624</f>
        <v>14176</v>
      </c>
      <c r="G623" s="155">
        <f t="shared" si="36"/>
        <v>14176</v>
      </c>
      <c r="H623" s="158"/>
    </row>
    <row r="624" spans="1:8" ht="24">
      <c r="A624" s="157" t="s">
        <v>491</v>
      </c>
      <c r="B624" s="147" t="s">
        <v>432</v>
      </c>
      <c r="C624" s="147" t="s">
        <v>436</v>
      </c>
      <c r="D624" s="147" t="s">
        <v>1009</v>
      </c>
      <c r="E624" s="147" t="s">
        <v>574</v>
      </c>
      <c r="F624" s="158">
        <f>15980+F625-1824</f>
        <v>14176</v>
      </c>
      <c r="G624" s="279">
        <f t="shared" si="36"/>
        <v>14176</v>
      </c>
      <c r="H624" s="158"/>
    </row>
    <row r="625" spans="1:8" ht="108">
      <c r="A625" s="157" t="s">
        <v>1260</v>
      </c>
      <c r="B625" s="147" t="s">
        <v>432</v>
      </c>
      <c r="C625" s="147" t="s">
        <v>436</v>
      </c>
      <c r="D625" s="147" t="s">
        <v>1009</v>
      </c>
      <c r="E625" s="147" t="s">
        <v>574</v>
      </c>
      <c r="F625" s="158">
        <v>20</v>
      </c>
      <c r="G625" s="158">
        <f t="shared" si="36"/>
        <v>20</v>
      </c>
      <c r="H625" s="158"/>
    </row>
    <row r="626" spans="1:8" ht="36">
      <c r="A626" s="157" t="s">
        <v>1794</v>
      </c>
      <c r="B626" s="147" t="s">
        <v>432</v>
      </c>
      <c r="C626" s="147" t="s">
        <v>436</v>
      </c>
      <c r="D626" s="147" t="s">
        <v>1793</v>
      </c>
      <c r="E626" s="147"/>
      <c r="F626" s="325">
        <f>F627</f>
        <v>8309</v>
      </c>
      <c r="G626" s="325">
        <f>G627</f>
        <v>8309</v>
      </c>
      <c r="H626" s="158"/>
    </row>
    <row r="627" spans="1:8" ht="24">
      <c r="A627" s="153" t="s">
        <v>841</v>
      </c>
      <c r="B627" s="147" t="s">
        <v>432</v>
      </c>
      <c r="C627" s="147" t="s">
        <v>436</v>
      </c>
      <c r="D627" s="147" t="s">
        <v>1792</v>
      </c>
      <c r="E627" s="147"/>
      <c r="F627" s="155">
        <f>F628+F630</f>
        <v>8309</v>
      </c>
      <c r="G627" s="155">
        <f>G628+G630</f>
        <v>8309</v>
      </c>
      <c r="H627" s="155"/>
    </row>
    <row r="628" spans="1:8" ht="72">
      <c r="A628" s="153" t="s">
        <v>1065</v>
      </c>
      <c r="B628" s="147" t="s">
        <v>432</v>
      </c>
      <c r="C628" s="147" t="s">
        <v>436</v>
      </c>
      <c r="D628" s="147" t="s">
        <v>1792</v>
      </c>
      <c r="E628" s="147" t="s">
        <v>960</v>
      </c>
      <c r="F628" s="155">
        <f>F629</f>
        <v>6689</v>
      </c>
      <c r="G628" s="155">
        <f>F628-H628</f>
        <v>6689</v>
      </c>
      <c r="H628" s="155"/>
    </row>
    <row r="629" spans="1:8" ht="24">
      <c r="A629" s="152" t="s">
        <v>1165</v>
      </c>
      <c r="B629" s="147" t="s">
        <v>432</v>
      </c>
      <c r="C629" s="147" t="s">
        <v>436</v>
      </c>
      <c r="D629" s="147" t="s">
        <v>1792</v>
      </c>
      <c r="E629" s="147" t="s">
        <v>1166</v>
      </c>
      <c r="F629" s="158">
        <v>6689</v>
      </c>
      <c r="G629" s="155">
        <f>F629-H629</f>
        <v>6689</v>
      </c>
      <c r="H629" s="155"/>
    </row>
    <row r="630" spans="1:8" ht="24">
      <c r="A630" s="153" t="s">
        <v>1066</v>
      </c>
      <c r="B630" s="147" t="s">
        <v>432</v>
      </c>
      <c r="C630" s="147" t="s">
        <v>436</v>
      </c>
      <c r="D630" s="147" t="s">
        <v>1792</v>
      </c>
      <c r="E630" s="147" t="s">
        <v>529</v>
      </c>
      <c r="F630" s="155">
        <f>F631</f>
        <v>1620</v>
      </c>
      <c r="G630" s="155">
        <f>F630-H630</f>
        <v>1620</v>
      </c>
      <c r="H630" s="155"/>
    </row>
    <row r="631" spans="1:8" ht="24">
      <c r="A631" s="153" t="s">
        <v>591</v>
      </c>
      <c r="B631" s="147" t="s">
        <v>432</v>
      </c>
      <c r="C631" s="147" t="s">
        <v>436</v>
      </c>
      <c r="D631" s="147" t="s">
        <v>1792</v>
      </c>
      <c r="E631" s="147" t="s">
        <v>429</v>
      </c>
      <c r="F631" s="158">
        <v>1620</v>
      </c>
      <c r="G631" s="155">
        <f>F631-H631</f>
        <v>1620</v>
      </c>
      <c r="H631" s="155"/>
    </row>
    <row r="632" spans="1:8" ht="24">
      <c r="A632" s="160" t="s">
        <v>1268</v>
      </c>
      <c r="B632" s="147" t="s">
        <v>432</v>
      </c>
      <c r="C632" s="147" t="s">
        <v>436</v>
      </c>
      <c r="D632" s="147" t="s">
        <v>733</v>
      </c>
      <c r="E632" s="147"/>
      <c r="F632" s="279">
        <f>F633</f>
        <v>750</v>
      </c>
      <c r="G632" s="279">
        <f>F632</f>
        <v>750</v>
      </c>
      <c r="H632" s="158"/>
    </row>
    <row r="633" spans="1:8" ht="36">
      <c r="A633" s="152" t="s">
        <v>1278</v>
      </c>
      <c r="B633" s="147" t="s">
        <v>432</v>
      </c>
      <c r="C633" s="147" t="s">
        <v>436</v>
      </c>
      <c r="D633" s="147" t="s">
        <v>948</v>
      </c>
      <c r="E633" s="147"/>
      <c r="F633" s="279">
        <f>F634</f>
        <v>750</v>
      </c>
      <c r="G633" s="279">
        <f>F633</f>
        <v>750</v>
      </c>
      <c r="H633" s="158"/>
    </row>
    <row r="634" spans="1:8" ht="36">
      <c r="A634" s="152" t="s">
        <v>1660</v>
      </c>
      <c r="B634" s="147" t="s">
        <v>432</v>
      </c>
      <c r="C634" s="147" t="s">
        <v>436</v>
      </c>
      <c r="D634" s="147" t="s">
        <v>1661</v>
      </c>
      <c r="E634" s="147"/>
      <c r="F634" s="279">
        <f>F635</f>
        <v>750</v>
      </c>
      <c r="G634" s="279">
        <f>F634</f>
        <v>750</v>
      </c>
      <c r="H634" s="158"/>
    </row>
    <row r="635" spans="1:8" ht="36">
      <c r="A635" s="157" t="s">
        <v>1662</v>
      </c>
      <c r="B635" s="147" t="s">
        <v>432</v>
      </c>
      <c r="C635" s="147" t="s">
        <v>436</v>
      </c>
      <c r="D635" s="147" t="s">
        <v>1663</v>
      </c>
      <c r="E635" s="147"/>
      <c r="F635" s="279">
        <f>F636</f>
        <v>750</v>
      </c>
      <c r="G635" s="279">
        <f>F635</f>
        <v>750</v>
      </c>
      <c r="H635" s="158"/>
    </row>
    <row r="636" spans="1:8" ht="24">
      <c r="A636" s="153" t="s">
        <v>1066</v>
      </c>
      <c r="B636" s="147" t="s">
        <v>432</v>
      </c>
      <c r="C636" s="147" t="s">
        <v>436</v>
      </c>
      <c r="D636" s="147" t="s">
        <v>1663</v>
      </c>
      <c r="E636" s="147" t="s">
        <v>529</v>
      </c>
      <c r="F636" s="279">
        <f>F637</f>
        <v>750</v>
      </c>
      <c r="G636" s="279">
        <f>G637</f>
        <v>750</v>
      </c>
      <c r="H636" s="158"/>
    </row>
    <row r="637" spans="1:8" ht="24">
      <c r="A637" s="153" t="s">
        <v>974</v>
      </c>
      <c r="B637" s="147" t="s">
        <v>432</v>
      </c>
      <c r="C637" s="147" t="s">
        <v>436</v>
      </c>
      <c r="D637" s="147" t="s">
        <v>1663</v>
      </c>
      <c r="E637" s="147" t="s">
        <v>429</v>
      </c>
      <c r="F637" s="158">
        <v>750</v>
      </c>
      <c r="G637" s="158">
        <f>F637</f>
        <v>750</v>
      </c>
      <c r="H637" s="158"/>
    </row>
    <row r="638" spans="1:8" ht="60">
      <c r="A638" s="160" t="s">
        <v>1537</v>
      </c>
      <c r="B638" s="147" t="s">
        <v>432</v>
      </c>
      <c r="C638" s="147" t="s">
        <v>436</v>
      </c>
      <c r="D638" s="147" t="s">
        <v>1010</v>
      </c>
      <c r="E638" s="147"/>
      <c r="F638" s="155">
        <f>F639+F643+F647+F652</f>
        <v>3165</v>
      </c>
      <c r="G638" s="155">
        <f>F638-H638</f>
        <v>3165</v>
      </c>
      <c r="H638" s="158"/>
    </row>
    <row r="639" spans="1:8" ht="132">
      <c r="A639" s="152" t="s">
        <v>1551</v>
      </c>
      <c r="B639" s="147" t="s">
        <v>432</v>
      </c>
      <c r="C639" s="147" t="s">
        <v>436</v>
      </c>
      <c r="D639" s="147" t="s">
        <v>1552</v>
      </c>
      <c r="E639" s="147"/>
      <c r="F639" s="155">
        <f>F640</f>
        <v>1575</v>
      </c>
      <c r="G639" s="155">
        <f aca="true" t="shared" si="37" ref="G639:G646">F639-H639</f>
        <v>1575</v>
      </c>
      <c r="H639" s="158"/>
    </row>
    <row r="640" spans="1:8" ht="24">
      <c r="A640" s="157" t="s">
        <v>903</v>
      </c>
      <c r="B640" s="147" t="s">
        <v>432</v>
      </c>
      <c r="C640" s="147" t="s">
        <v>436</v>
      </c>
      <c r="D640" s="147" t="s">
        <v>1553</v>
      </c>
      <c r="E640" s="147"/>
      <c r="F640" s="155">
        <f>F641</f>
        <v>1575</v>
      </c>
      <c r="G640" s="155">
        <f t="shared" si="37"/>
        <v>1575</v>
      </c>
      <c r="H640" s="158"/>
    </row>
    <row r="641" spans="1:8" ht="36">
      <c r="A641" s="152" t="s">
        <v>490</v>
      </c>
      <c r="B641" s="147" t="s">
        <v>432</v>
      </c>
      <c r="C641" s="147" t="s">
        <v>436</v>
      </c>
      <c r="D641" s="147" t="s">
        <v>1553</v>
      </c>
      <c r="E641" s="147" t="s">
        <v>489</v>
      </c>
      <c r="F641" s="279">
        <f>F642</f>
        <v>1575</v>
      </c>
      <c r="G641" s="155">
        <f t="shared" si="37"/>
        <v>1575</v>
      </c>
      <c r="H641" s="158"/>
    </row>
    <row r="642" spans="1:8" ht="24">
      <c r="A642" s="157" t="s">
        <v>573</v>
      </c>
      <c r="B642" s="147" t="s">
        <v>432</v>
      </c>
      <c r="C642" s="147" t="s">
        <v>436</v>
      </c>
      <c r="D642" s="147" t="s">
        <v>1553</v>
      </c>
      <c r="E642" s="147" t="s">
        <v>574</v>
      </c>
      <c r="F642" s="158">
        <v>1575</v>
      </c>
      <c r="G642" s="155">
        <f t="shared" si="37"/>
        <v>1575</v>
      </c>
      <c r="H642" s="158"/>
    </row>
    <row r="643" spans="1:8" ht="84">
      <c r="A643" s="157" t="s">
        <v>1554</v>
      </c>
      <c r="B643" s="147" t="s">
        <v>432</v>
      </c>
      <c r="C643" s="147" t="s">
        <v>436</v>
      </c>
      <c r="D643" s="147" t="s">
        <v>1555</v>
      </c>
      <c r="E643" s="147"/>
      <c r="F643" s="279">
        <f>F644</f>
        <v>1590</v>
      </c>
      <c r="G643" s="155">
        <f t="shared" si="37"/>
        <v>1590</v>
      </c>
      <c r="H643" s="158"/>
    </row>
    <row r="644" spans="1:8" ht="36">
      <c r="A644" s="157" t="s">
        <v>1231</v>
      </c>
      <c r="B644" s="147" t="s">
        <v>432</v>
      </c>
      <c r="C644" s="147" t="s">
        <v>436</v>
      </c>
      <c r="D644" s="147" t="s">
        <v>1556</v>
      </c>
      <c r="E644" s="147"/>
      <c r="F644" s="279">
        <f>F645</f>
        <v>1590</v>
      </c>
      <c r="G644" s="155">
        <f t="shared" si="37"/>
        <v>1590</v>
      </c>
      <c r="H644" s="158"/>
    </row>
    <row r="645" spans="1:8" ht="36">
      <c r="A645" s="152" t="s">
        <v>490</v>
      </c>
      <c r="B645" s="147" t="s">
        <v>432</v>
      </c>
      <c r="C645" s="147" t="s">
        <v>436</v>
      </c>
      <c r="D645" s="147" t="s">
        <v>1556</v>
      </c>
      <c r="E645" s="147" t="s">
        <v>489</v>
      </c>
      <c r="F645" s="279">
        <f>F646</f>
        <v>1590</v>
      </c>
      <c r="G645" s="155">
        <f t="shared" si="37"/>
        <v>1590</v>
      </c>
      <c r="H645" s="158"/>
    </row>
    <row r="646" spans="1:8" ht="24">
      <c r="A646" s="157" t="s">
        <v>573</v>
      </c>
      <c r="B646" s="147" t="s">
        <v>432</v>
      </c>
      <c r="C646" s="147" t="s">
        <v>436</v>
      </c>
      <c r="D646" s="147" t="s">
        <v>1556</v>
      </c>
      <c r="E646" s="147" t="s">
        <v>574</v>
      </c>
      <c r="F646" s="158">
        <v>1590</v>
      </c>
      <c r="G646" s="155">
        <f t="shared" si="37"/>
        <v>1590</v>
      </c>
      <c r="H646" s="158"/>
    </row>
    <row r="647" spans="1:8" ht="36">
      <c r="A647" s="157" t="s">
        <v>1293</v>
      </c>
      <c r="B647" s="147" t="s">
        <v>432</v>
      </c>
      <c r="C647" s="147" t="s">
        <v>436</v>
      </c>
      <c r="D647" s="147" t="s">
        <v>1011</v>
      </c>
      <c r="E647" s="147"/>
      <c r="F647" s="155">
        <f>F650</f>
        <v>0</v>
      </c>
      <c r="G647" s="155">
        <f>F647-H647</f>
        <v>0</v>
      </c>
      <c r="H647" s="158"/>
    </row>
    <row r="648" spans="1:8" ht="36">
      <c r="A648" s="157" t="s">
        <v>1227</v>
      </c>
      <c r="B648" s="147" t="s">
        <v>432</v>
      </c>
      <c r="C648" s="147" t="s">
        <v>436</v>
      </c>
      <c r="D648" s="147" t="s">
        <v>1228</v>
      </c>
      <c r="E648" s="147"/>
      <c r="F648" s="155">
        <f>F649</f>
        <v>0</v>
      </c>
      <c r="G648" s="155">
        <f>G649</f>
        <v>0</v>
      </c>
      <c r="H648" s="158"/>
    </row>
    <row r="649" spans="1:8" ht="24">
      <c r="A649" s="157" t="s">
        <v>903</v>
      </c>
      <c r="B649" s="147" t="s">
        <v>432</v>
      </c>
      <c r="C649" s="147" t="s">
        <v>436</v>
      </c>
      <c r="D649" s="147" t="s">
        <v>1229</v>
      </c>
      <c r="E649" s="147"/>
      <c r="F649" s="155">
        <f>F650</f>
        <v>0</v>
      </c>
      <c r="G649" s="155">
        <f>G650</f>
        <v>0</v>
      </c>
      <c r="H649" s="158"/>
    </row>
    <row r="650" spans="1:8" ht="36">
      <c r="A650" s="152" t="s">
        <v>490</v>
      </c>
      <c r="B650" s="147" t="s">
        <v>432</v>
      </c>
      <c r="C650" s="147" t="s">
        <v>436</v>
      </c>
      <c r="D650" s="147" t="s">
        <v>1229</v>
      </c>
      <c r="E650" s="147" t="s">
        <v>489</v>
      </c>
      <c r="F650" s="279">
        <f>F651</f>
        <v>0</v>
      </c>
      <c r="G650" s="155">
        <f>F650-H650</f>
        <v>0</v>
      </c>
      <c r="H650" s="276"/>
    </row>
    <row r="651" spans="1:8" ht="24">
      <c r="A651" s="157" t="s">
        <v>573</v>
      </c>
      <c r="B651" s="147" t="s">
        <v>432</v>
      </c>
      <c r="C651" s="147" t="s">
        <v>436</v>
      </c>
      <c r="D651" s="147" t="s">
        <v>1229</v>
      </c>
      <c r="E651" s="147" t="s">
        <v>574</v>
      </c>
      <c r="F651" s="158">
        <f>1575-1575</f>
        <v>0</v>
      </c>
      <c r="G651" s="158">
        <f>F651-H651</f>
        <v>0</v>
      </c>
      <c r="H651" s="158"/>
    </row>
    <row r="652" spans="1:8" ht="48">
      <c r="A652" s="157" t="s">
        <v>1230</v>
      </c>
      <c r="B652" s="147" t="s">
        <v>432</v>
      </c>
      <c r="C652" s="147" t="s">
        <v>436</v>
      </c>
      <c r="D652" s="147" t="s">
        <v>902</v>
      </c>
      <c r="E652" s="147"/>
      <c r="F652" s="279">
        <f aca="true" t="shared" si="38" ref="F652:G654">F653</f>
        <v>0</v>
      </c>
      <c r="G652" s="279">
        <f t="shared" si="38"/>
        <v>0</v>
      </c>
      <c r="H652" s="158"/>
    </row>
    <row r="653" spans="1:8" ht="36">
      <c r="A653" s="157" t="s">
        <v>1231</v>
      </c>
      <c r="B653" s="147" t="s">
        <v>432</v>
      </c>
      <c r="C653" s="147" t="s">
        <v>436</v>
      </c>
      <c r="D653" s="147" t="s">
        <v>303</v>
      </c>
      <c r="E653" s="147"/>
      <c r="F653" s="279">
        <f t="shared" si="38"/>
        <v>0</v>
      </c>
      <c r="G653" s="279">
        <f t="shared" si="38"/>
        <v>0</v>
      </c>
      <c r="H653" s="158"/>
    </row>
    <row r="654" spans="1:8" ht="36">
      <c r="A654" s="152" t="s">
        <v>490</v>
      </c>
      <c r="B654" s="147" t="s">
        <v>432</v>
      </c>
      <c r="C654" s="147" t="s">
        <v>436</v>
      </c>
      <c r="D654" s="147" t="s">
        <v>303</v>
      </c>
      <c r="E654" s="147" t="s">
        <v>489</v>
      </c>
      <c r="F654" s="279">
        <f t="shared" si="38"/>
        <v>0</v>
      </c>
      <c r="G654" s="279">
        <f t="shared" si="38"/>
        <v>0</v>
      </c>
      <c r="H654" s="158"/>
    </row>
    <row r="655" spans="1:8" ht="24">
      <c r="A655" s="157" t="s">
        <v>573</v>
      </c>
      <c r="B655" s="147" t="s">
        <v>432</v>
      </c>
      <c r="C655" s="147" t="s">
        <v>436</v>
      </c>
      <c r="D655" s="147" t="s">
        <v>303</v>
      </c>
      <c r="E655" s="147" t="s">
        <v>574</v>
      </c>
      <c r="F655" s="158">
        <f>1590-1590</f>
        <v>0</v>
      </c>
      <c r="G655" s="158">
        <f>F655</f>
        <v>0</v>
      </c>
      <c r="H655" s="158"/>
    </row>
    <row r="656" spans="1:8" ht="36">
      <c r="A656" s="164" t="s">
        <v>839</v>
      </c>
      <c r="B656" s="147" t="s">
        <v>432</v>
      </c>
      <c r="C656" s="147" t="s">
        <v>436</v>
      </c>
      <c r="D656" s="147" t="s">
        <v>904</v>
      </c>
      <c r="E656" s="147"/>
      <c r="F656" s="155">
        <f aca="true" t="shared" si="39" ref="F656:G660">F657</f>
        <v>194301.59999999998</v>
      </c>
      <c r="G656" s="155">
        <f t="shared" si="39"/>
        <v>164301.59999999998</v>
      </c>
      <c r="H656" s="155">
        <f>H659</f>
        <v>0</v>
      </c>
    </row>
    <row r="657" spans="1:8" ht="24">
      <c r="A657" s="152" t="s">
        <v>94</v>
      </c>
      <c r="B657" s="147" t="s">
        <v>432</v>
      </c>
      <c r="C657" s="147" t="s">
        <v>436</v>
      </c>
      <c r="D657" s="147" t="s">
        <v>905</v>
      </c>
      <c r="E657" s="147"/>
      <c r="F657" s="155">
        <f>F658+F677</f>
        <v>194301.59999999998</v>
      </c>
      <c r="G657" s="155">
        <f>G658+G677</f>
        <v>164301.59999999998</v>
      </c>
      <c r="H657" s="155">
        <f>H658+H677</f>
        <v>0</v>
      </c>
    </row>
    <row r="658" spans="1:8" ht="24">
      <c r="A658" s="152" t="s">
        <v>906</v>
      </c>
      <c r="B658" s="147" t="s">
        <v>432</v>
      </c>
      <c r="C658" s="147" t="s">
        <v>436</v>
      </c>
      <c r="D658" s="147" t="s">
        <v>908</v>
      </c>
      <c r="E658" s="147"/>
      <c r="F658" s="155">
        <f>F659+F671+F662+F665+F668+F674</f>
        <v>194301.59999999998</v>
      </c>
      <c r="G658" s="155">
        <f>G659+G671+G662+G665</f>
        <v>164301.59999999998</v>
      </c>
      <c r="H658" s="155">
        <f>H659+H671+H662+H665</f>
        <v>0</v>
      </c>
    </row>
    <row r="659" spans="1:8" ht="24">
      <c r="A659" s="157" t="s">
        <v>907</v>
      </c>
      <c r="B659" s="147" t="s">
        <v>432</v>
      </c>
      <c r="C659" s="147" t="s">
        <v>436</v>
      </c>
      <c r="D659" s="147" t="s">
        <v>909</v>
      </c>
      <c r="E659" s="147"/>
      <c r="F659" s="155">
        <f t="shared" si="39"/>
        <v>111804.7</v>
      </c>
      <c r="G659" s="155">
        <f t="shared" si="39"/>
        <v>111804.7</v>
      </c>
      <c r="H659" s="155">
        <f>H660</f>
        <v>0</v>
      </c>
    </row>
    <row r="660" spans="1:8" ht="24">
      <c r="A660" s="153" t="s">
        <v>1066</v>
      </c>
      <c r="B660" s="147" t="s">
        <v>432</v>
      </c>
      <c r="C660" s="147" t="s">
        <v>436</v>
      </c>
      <c r="D660" s="147" t="s">
        <v>909</v>
      </c>
      <c r="E660" s="147" t="s">
        <v>529</v>
      </c>
      <c r="F660" s="155">
        <f t="shared" si="39"/>
        <v>111804.7</v>
      </c>
      <c r="G660" s="155">
        <f t="shared" si="39"/>
        <v>111804.7</v>
      </c>
      <c r="H660" s="155">
        <f>H661</f>
        <v>0</v>
      </c>
    </row>
    <row r="661" spans="1:8" ht="24">
      <c r="A661" s="153" t="s">
        <v>591</v>
      </c>
      <c r="B661" s="147" t="s">
        <v>432</v>
      </c>
      <c r="C661" s="147" t="s">
        <v>436</v>
      </c>
      <c r="D661" s="147" t="s">
        <v>909</v>
      </c>
      <c r="E661" s="147" t="s">
        <v>429</v>
      </c>
      <c r="F661" s="158">
        <f>86000+23141-4250+6500+413.7</f>
        <v>111804.7</v>
      </c>
      <c r="G661" s="155">
        <f>F661-H661</f>
        <v>111804.7</v>
      </c>
      <c r="H661" s="158"/>
    </row>
    <row r="662" spans="1:8" ht="84">
      <c r="A662" s="152" t="s">
        <v>1664</v>
      </c>
      <c r="B662" s="147" t="s">
        <v>432</v>
      </c>
      <c r="C662" s="147" t="s">
        <v>436</v>
      </c>
      <c r="D662" s="147" t="s">
        <v>1665</v>
      </c>
      <c r="E662" s="147"/>
      <c r="F662" s="279">
        <f>F663</f>
        <v>2386.4</v>
      </c>
      <c r="G662" s="155">
        <f>F662-H662</f>
        <v>2386.4</v>
      </c>
      <c r="H662" s="158"/>
    </row>
    <row r="663" spans="1:8" ht="24">
      <c r="A663" s="153" t="s">
        <v>1066</v>
      </c>
      <c r="B663" s="147" t="s">
        <v>432</v>
      </c>
      <c r="C663" s="147" t="s">
        <v>436</v>
      </c>
      <c r="D663" s="147" t="s">
        <v>1665</v>
      </c>
      <c r="E663" s="147" t="s">
        <v>529</v>
      </c>
      <c r="F663" s="279">
        <f>F664</f>
        <v>2386.4</v>
      </c>
      <c r="G663" s="155">
        <f>F663-H663</f>
        <v>2386.4</v>
      </c>
      <c r="H663" s="158"/>
    </row>
    <row r="664" spans="1:8" ht="24">
      <c r="A664" s="153" t="s">
        <v>591</v>
      </c>
      <c r="B664" s="147" t="s">
        <v>432</v>
      </c>
      <c r="C664" s="147" t="s">
        <v>436</v>
      </c>
      <c r="D664" s="147" t="s">
        <v>1665</v>
      </c>
      <c r="E664" s="147" t="s">
        <v>429</v>
      </c>
      <c r="F664" s="158">
        <f>1161+1225.4</f>
        <v>2386.4</v>
      </c>
      <c r="G664" s="155">
        <f>F664-H664</f>
        <v>2386.4</v>
      </c>
      <c r="H664" s="158"/>
    </row>
    <row r="665" spans="1:8" ht="36">
      <c r="A665" s="153" t="s">
        <v>1666</v>
      </c>
      <c r="B665" s="147" t="s">
        <v>432</v>
      </c>
      <c r="C665" s="147" t="s">
        <v>436</v>
      </c>
      <c r="D665" s="147" t="s">
        <v>1667</v>
      </c>
      <c r="E665" s="147"/>
      <c r="F665" s="279">
        <f>F666</f>
        <v>4769.799999999999</v>
      </c>
      <c r="G665" s="155">
        <f>F665</f>
        <v>4769.799999999999</v>
      </c>
      <c r="H665" s="158"/>
    </row>
    <row r="666" spans="1:8" ht="24">
      <c r="A666" s="153" t="s">
        <v>1066</v>
      </c>
      <c r="B666" s="147" t="s">
        <v>432</v>
      </c>
      <c r="C666" s="147" t="s">
        <v>436</v>
      </c>
      <c r="D666" s="147" t="s">
        <v>1667</v>
      </c>
      <c r="E666" s="147" t="s">
        <v>529</v>
      </c>
      <c r="F666" s="279">
        <f>F667</f>
        <v>4769.799999999999</v>
      </c>
      <c r="G666" s="155">
        <f>F666</f>
        <v>4769.799999999999</v>
      </c>
      <c r="H666" s="158"/>
    </row>
    <row r="667" spans="1:8" ht="24">
      <c r="A667" s="153" t="s">
        <v>591</v>
      </c>
      <c r="B667" s="147" t="s">
        <v>432</v>
      </c>
      <c r="C667" s="147" t="s">
        <v>436</v>
      </c>
      <c r="D667" s="147" t="s">
        <v>1667</v>
      </c>
      <c r="E667" s="147" t="s">
        <v>429</v>
      </c>
      <c r="F667" s="158">
        <f>6845.2+350-1225.4-1200</f>
        <v>4769.799999999999</v>
      </c>
      <c r="G667" s="155">
        <f>F667</f>
        <v>4769.799999999999</v>
      </c>
      <c r="H667" s="158"/>
    </row>
    <row r="668" spans="1:8" ht="84">
      <c r="A668" s="312" t="s">
        <v>1730</v>
      </c>
      <c r="B668" s="147" t="s">
        <v>432</v>
      </c>
      <c r="C668" s="147" t="s">
        <v>436</v>
      </c>
      <c r="D668" s="147" t="s">
        <v>1731</v>
      </c>
      <c r="E668" s="147"/>
      <c r="F668" s="155">
        <f>F669</f>
        <v>10920</v>
      </c>
      <c r="G668" s="155">
        <f>G669</f>
        <v>10920</v>
      </c>
      <c r="H668" s="158"/>
    </row>
    <row r="669" spans="1:8" ht="24">
      <c r="A669" s="153" t="s">
        <v>1066</v>
      </c>
      <c r="B669" s="147" t="s">
        <v>432</v>
      </c>
      <c r="C669" s="147" t="s">
        <v>436</v>
      </c>
      <c r="D669" s="147" t="s">
        <v>1731</v>
      </c>
      <c r="E669" s="147" t="s">
        <v>529</v>
      </c>
      <c r="F669" s="155">
        <f>F670</f>
        <v>10920</v>
      </c>
      <c r="G669" s="155">
        <f>G670</f>
        <v>10920</v>
      </c>
      <c r="H669" s="158"/>
    </row>
    <row r="670" spans="1:8" ht="24">
      <c r="A670" s="153" t="s">
        <v>591</v>
      </c>
      <c r="B670" s="147" t="s">
        <v>432</v>
      </c>
      <c r="C670" s="147" t="s">
        <v>436</v>
      </c>
      <c r="D670" s="147" t="s">
        <v>1731</v>
      </c>
      <c r="E670" s="147" t="s">
        <v>429</v>
      </c>
      <c r="F670" s="158">
        <v>10920</v>
      </c>
      <c r="G670" s="155">
        <f aca="true" t="shared" si="40" ref="G670:G688">F670-H670</f>
        <v>10920</v>
      </c>
      <c r="H670" s="158"/>
    </row>
    <row r="671" spans="1:8" ht="60">
      <c r="A671" s="152" t="s">
        <v>1668</v>
      </c>
      <c r="B671" s="147" t="s">
        <v>432</v>
      </c>
      <c r="C671" s="147" t="s">
        <v>436</v>
      </c>
      <c r="D671" s="147" t="s">
        <v>1669</v>
      </c>
      <c r="E671" s="147"/>
      <c r="F671" s="279">
        <f>F672</f>
        <v>45340.7</v>
      </c>
      <c r="G671" s="155">
        <f t="shared" si="40"/>
        <v>45340.7</v>
      </c>
      <c r="H671" s="158"/>
    </row>
    <row r="672" spans="1:8" ht="24">
      <c r="A672" s="153" t="s">
        <v>1066</v>
      </c>
      <c r="B672" s="147" t="s">
        <v>432</v>
      </c>
      <c r="C672" s="147" t="s">
        <v>436</v>
      </c>
      <c r="D672" s="147" t="s">
        <v>1669</v>
      </c>
      <c r="E672" s="147" t="s">
        <v>529</v>
      </c>
      <c r="F672" s="279">
        <f>F673</f>
        <v>45340.7</v>
      </c>
      <c r="G672" s="155">
        <f t="shared" si="40"/>
        <v>45340.7</v>
      </c>
      <c r="H672" s="158"/>
    </row>
    <row r="673" spans="1:8" ht="24">
      <c r="A673" s="153" t="s">
        <v>591</v>
      </c>
      <c r="B673" s="147" t="s">
        <v>432</v>
      </c>
      <c r="C673" s="147" t="s">
        <v>436</v>
      </c>
      <c r="D673" s="147" t="s">
        <v>1669</v>
      </c>
      <c r="E673" s="147" t="s">
        <v>429</v>
      </c>
      <c r="F673" s="158">
        <f>22073+23267.7</f>
        <v>45340.7</v>
      </c>
      <c r="G673" s="155">
        <f t="shared" si="40"/>
        <v>45340.7</v>
      </c>
      <c r="H673" s="158"/>
    </row>
    <row r="674" spans="1:8" ht="60">
      <c r="A674" s="312" t="s">
        <v>1732</v>
      </c>
      <c r="B674" s="147" t="s">
        <v>432</v>
      </c>
      <c r="C674" s="147" t="s">
        <v>436</v>
      </c>
      <c r="D674" s="147" t="s">
        <v>1733</v>
      </c>
      <c r="E674" s="147"/>
      <c r="F674" s="279">
        <f>F675</f>
        <v>19080</v>
      </c>
      <c r="G674" s="155">
        <f>F674-H674</f>
        <v>19080</v>
      </c>
      <c r="H674" s="158"/>
    </row>
    <row r="675" spans="1:8" ht="24">
      <c r="A675" s="153" t="s">
        <v>1066</v>
      </c>
      <c r="B675" s="147" t="s">
        <v>432</v>
      </c>
      <c r="C675" s="147" t="s">
        <v>436</v>
      </c>
      <c r="D675" s="147" t="s">
        <v>1733</v>
      </c>
      <c r="E675" s="147" t="s">
        <v>529</v>
      </c>
      <c r="F675" s="279">
        <f>F676</f>
        <v>19080</v>
      </c>
      <c r="G675" s="155">
        <f>F675-H675</f>
        <v>19080</v>
      </c>
      <c r="H675" s="158"/>
    </row>
    <row r="676" spans="1:8" ht="24">
      <c r="A676" s="153" t="s">
        <v>591</v>
      </c>
      <c r="B676" s="147" t="s">
        <v>432</v>
      </c>
      <c r="C676" s="147" t="s">
        <v>436</v>
      </c>
      <c r="D676" s="147" t="s">
        <v>1733</v>
      </c>
      <c r="E676" s="147" t="s">
        <v>429</v>
      </c>
      <c r="F676" s="158">
        <v>19080</v>
      </c>
      <c r="G676" s="155">
        <f>F676-H676</f>
        <v>19080</v>
      </c>
      <c r="H676" s="158"/>
    </row>
    <row r="677" spans="1:8" ht="24">
      <c r="A677" s="152" t="s">
        <v>910</v>
      </c>
      <c r="B677" s="147" t="s">
        <v>432</v>
      </c>
      <c r="C677" s="147" t="s">
        <v>436</v>
      </c>
      <c r="D677" s="147" t="s">
        <v>911</v>
      </c>
      <c r="E677" s="147"/>
      <c r="F677" s="155">
        <f>F678</f>
        <v>0</v>
      </c>
      <c r="G677" s="155">
        <f t="shared" si="40"/>
        <v>0</v>
      </c>
      <c r="H677" s="158"/>
    </row>
    <row r="678" spans="1:8" ht="15">
      <c r="A678" s="157" t="s">
        <v>907</v>
      </c>
      <c r="B678" s="147" t="s">
        <v>432</v>
      </c>
      <c r="C678" s="147" t="s">
        <v>436</v>
      </c>
      <c r="D678" s="147" t="s">
        <v>912</v>
      </c>
      <c r="E678" s="147"/>
      <c r="F678" s="155">
        <f>F679</f>
        <v>0</v>
      </c>
      <c r="G678" s="155">
        <f t="shared" si="40"/>
        <v>0</v>
      </c>
      <c r="H678" s="158"/>
    </row>
    <row r="679" spans="1:8" ht="36">
      <c r="A679" s="152" t="s">
        <v>461</v>
      </c>
      <c r="B679" s="147" t="s">
        <v>432</v>
      </c>
      <c r="C679" s="147" t="s">
        <v>436</v>
      </c>
      <c r="D679" s="147" t="s">
        <v>912</v>
      </c>
      <c r="E679" s="147" t="s">
        <v>1167</v>
      </c>
      <c r="F679" s="155">
        <f>F680</f>
        <v>0</v>
      </c>
      <c r="G679" s="155">
        <f t="shared" si="40"/>
        <v>0</v>
      </c>
      <c r="H679" s="158"/>
    </row>
    <row r="680" spans="1:8" ht="60">
      <c r="A680" s="152" t="s">
        <v>444</v>
      </c>
      <c r="B680" s="147" t="s">
        <v>432</v>
      </c>
      <c r="C680" s="147" t="s">
        <v>436</v>
      </c>
      <c r="D680" s="147" t="s">
        <v>912</v>
      </c>
      <c r="E680" s="147" t="s">
        <v>881</v>
      </c>
      <c r="F680" s="155">
        <f>F681</f>
        <v>0</v>
      </c>
      <c r="G680" s="155">
        <f t="shared" si="40"/>
        <v>0</v>
      </c>
      <c r="H680" s="158"/>
    </row>
    <row r="681" spans="1:8" ht="24">
      <c r="A681" s="152" t="s">
        <v>994</v>
      </c>
      <c r="B681" s="147" t="s">
        <v>432</v>
      </c>
      <c r="C681" s="147" t="s">
        <v>436</v>
      </c>
      <c r="D681" s="147" t="s">
        <v>912</v>
      </c>
      <c r="E681" s="147" t="s">
        <v>881</v>
      </c>
      <c r="F681" s="158">
        <v>0</v>
      </c>
      <c r="G681" s="155">
        <f t="shared" si="40"/>
        <v>0</v>
      </c>
      <c r="H681" s="158"/>
    </row>
    <row r="682" spans="1:8" ht="36">
      <c r="A682" s="153" t="s">
        <v>1078</v>
      </c>
      <c r="B682" s="147" t="s">
        <v>432</v>
      </c>
      <c r="C682" s="147" t="s">
        <v>436</v>
      </c>
      <c r="D682" s="147" t="s">
        <v>1079</v>
      </c>
      <c r="E682" s="147"/>
      <c r="F682" s="279">
        <f>F683+F686</f>
        <v>1350</v>
      </c>
      <c r="G682" s="155">
        <f t="shared" si="40"/>
        <v>1350</v>
      </c>
      <c r="H682" s="158"/>
    </row>
    <row r="683" spans="1:8" ht="24">
      <c r="A683" s="153" t="s">
        <v>1066</v>
      </c>
      <c r="B683" s="147" t="s">
        <v>432</v>
      </c>
      <c r="C683" s="147" t="s">
        <v>436</v>
      </c>
      <c r="D683" s="147" t="s">
        <v>1079</v>
      </c>
      <c r="E683" s="147" t="s">
        <v>529</v>
      </c>
      <c r="F683" s="279">
        <f>F684</f>
        <v>850</v>
      </c>
      <c r="G683" s="155">
        <f t="shared" si="40"/>
        <v>850</v>
      </c>
      <c r="H683" s="158"/>
    </row>
    <row r="684" spans="1:8" ht="24">
      <c r="A684" s="153" t="s">
        <v>591</v>
      </c>
      <c r="B684" s="147" t="s">
        <v>432</v>
      </c>
      <c r="C684" s="147" t="s">
        <v>436</v>
      </c>
      <c r="D684" s="147" t="s">
        <v>1079</v>
      </c>
      <c r="E684" s="147" t="s">
        <v>429</v>
      </c>
      <c r="F684" s="279">
        <f>F685</f>
        <v>850</v>
      </c>
      <c r="G684" s="155">
        <f t="shared" si="40"/>
        <v>850</v>
      </c>
      <c r="H684" s="158"/>
    </row>
    <row r="685" spans="1:8" ht="60">
      <c r="A685" s="152" t="s">
        <v>1606</v>
      </c>
      <c r="B685" s="147" t="s">
        <v>432</v>
      </c>
      <c r="C685" s="147" t="s">
        <v>436</v>
      </c>
      <c r="D685" s="147" t="s">
        <v>1079</v>
      </c>
      <c r="E685" s="147" t="s">
        <v>429</v>
      </c>
      <c r="F685" s="158">
        <v>850</v>
      </c>
      <c r="G685" s="155">
        <f t="shared" si="40"/>
        <v>850</v>
      </c>
      <c r="H685" s="158"/>
    </row>
    <row r="686" spans="1:8" ht="36">
      <c r="A686" s="152" t="s">
        <v>490</v>
      </c>
      <c r="B686" s="147" t="s">
        <v>432</v>
      </c>
      <c r="C686" s="147" t="s">
        <v>436</v>
      </c>
      <c r="D686" s="147" t="s">
        <v>1079</v>
      </c>
      <c r="E686" s="147" t="s">
        <v>489</v>
      </c>
      <c r="F686" s="279">
        <f>F687</f>
        <v>500</v>
      </c>
      <c r="G686" s="155">
        <f t="shared" si="40"/>
        <v>500</v>
      </c>
      <c r="H686" s="158"/>
    </row>
    <row r="687" spans="1:8" ht="15">
      <c r="A687" s="157" t="s">
        <v>573</v>
      </c>
      <c r="B687" s="147" t="s">
        <v>432</v>
      </c>
      <c r="C687" s="147" t="s">
        <v>436</v>
      </c>
      <c r="D687" s="147" t="s">
        <v>1079</v>
      </c>
      <c r="E687" s="147" t="s">
        <v>574</v>
      </c>
      <c r="F687" s="279">
        <f>F688</f>
        <v>500</v>
      </c>
      <c r="G687" s="155">
        <f t="shared" si="40"/>
        <v>500</v>
      </c>
      <c r="H687" s="158"/>
    </row>
    <row r="688" spans="1:8" ht="48">
      <c r="A688" s="152" t="s">
        <v>1607</v>
      </c>
      <c r="B688" s="147" t="s">
        <v>432</v>
      </c>
      <c r="C688" s="147" t="s">
        <v>436</v>
      </c>
      <c r="D688" s="147" t="s">
        <v>1079</v>
      </c>
      <c r="E688" s="147" t="s">
        <v>574</v>
      </c>
      <c r="F688" s="158">
        <v>500</v>
      </c>
      <c r="G688" s="155">
        <f t="shared" si="40"/>
        <v>500</v>
      </c>
      <c r="H688" s="158"/>
    </row>
    <row r="689" spans="1:8" ht="15">
      <c r="A689" s="166" t="s">
        <v>990</v>
      </c>
      <c r="B689" s="146" t="s">
        <v>431</v>
      </c>
      <c r="C689" s="147"/>
      <c r="D689" s="147"/>
      <c r="E689" s="147"/>
      <c r="F689" s="1">
        <f>F690</f>
        <v>9705</v>
      </c>
      <c r="G689" s="167">
        <f>F689-H689</f>
        <v>9705</v>
      </c>
      <c r="H689" s="1"/>
    </row>
    <row r="690" spans="1:8" ht="22.5">
      <c r="A690" s="156" t="s">
        <v>1154</v>
      </c>
      <c r="B690" s="147" t="s">
        <v>431</v>
      </c>
      <c r="C690" s="147" t="s">
        <v>436</v>
      </c>
      <c r="D690" s="147"/>
      <c r="E690" s="147"/>
      <c r="F690" s="155">
        <f>F691</f>
        <v>9705</v>
      </c>
      <c r="G690" s="155">
        <f>F690-H690</f>
        <v>9705</v>
      </c>
      <c r="H690" s="155"/>
    </row>
    <row r="691" spans="1:8" ht="36">
      <c r="A691" s="160" t="s">
        <v>1435</v>
      </c>
      <c r="B691" s="147" t="s">
        <v>431</v>
      </c>
      <c r="C691" s="147" t="s">
        <v>436</v>
      </c>
      <c r="D691" s="147" t="s">
        <v>915</v>
      </c>
      <c r="E691" s="147"/>
      <c r="F691" s="155">
        <f>F692+F711+F716</f>
        <v>9705</v>
      </c>
      <c r="G691" s="155">
        <f>G692+G711+G716</f>
        <v>9705</v>
      </c>
      <c r="H691" s="155"/>
    </row>
    <row r="692" spans="1:8" ht="36">
      <c r="A692" s="152" t="s">
        <v>1436</v>
      </c>
      <c r="B692" s="147" t="s">
        <v>431</v>
      </c>
      <c r="C692" s="147" t="s">
        <v>436</v>
      </c>
      <c r="D692" s="147" t="s">
        <v>916</v>
      </c>
      <c r="E692" s="147"/>
      <c r="F692" s="155">
        <f>F693+F697+F701+F705</f>
        <v>4700</v>
      </c>
      <c r="G692" s="155">
        <f>G693+G697+G701+G705</f>
        <v>4700</v>
      </c>
      <c r="H692" s="155"/>
    </row>
    <row r="693" spans="1:8" ht="24">
      <c r="A693" s="152" t="s">
        <v>913</v>
      </c>
      <c r="B693" s="147" t="s">
        <v>431</v>
      </c>
      <c r="C693" s="147" t="s">
        <v>436</v>
      </c>
      <c r="D693" s="253" t="s">
        <v>918</v>
      </c>
      <c r="E693" s="147"/>
      <c r="F693" s="155">
        <f>F694</f>
        <v>0</v>
      </c>
      <c r="G693" s="155">
        <f aca="true" t="shared" si="41" ref="G693:G698">F693</f>
        <v>0</v>
      </c>
      <c r="H693" s="155"/>
    </row>
    <row r="694" spans="1:8" ht="15">
      <c r="A694" s="152" t="s">
        <v>914</v>
      </c>
      <c r="B694" s="147" t="s">
        <v>431</v>
      </c>
      <c r="C694" s="147" t="s">
        <v>436</v>
      </c>
      <c r="D694" s="147" t="s">
        <v>917</v>
      </c>
      <c r="E694" s="147"/>
      <c r="F694" s="155">
        <f>F695</f>
        <v>0</v>
      </c>
      <c r="G694" s="155">
        <f t="shared" si="41"/>
        <v>0</v>
      </c>
      <c r="H694" s="155"/>
    </row>
    <row r="695" spans="1:8" ht="24">
      <c r="A695" s="153" t="s">
        <v>974</v>
      </c>
      <c r="B695" s="147" t="s">
        <v>431</v>
      </c>
      <c r="C695" s="147" t="s">
        <v>436</v>
      </c>
      <c r="D695" s="147" t="s">
        <v>917</v>
      </c>
      <c r="E695" s="147" t="s">
        <v>529</v>
      </c>
      <c r="F695" s="155">
        <f>F696</f>
        <v>0</v>
      </c>
      <c r="G695" s="155">
        <f t="shared" si="41"/>
        <v>0</v>
      </c>
      <c r="H695" s="155"/>
    </row>
    <row r="696" spans="1:8" ht="24">
      <c r="A696" s="153" t="s">
        <v>931</v>
      </c>
      <c r="B696" s="147" t="s">
        <v>431</v>
      </c>
      <c r="C696" s="147" t="s">
        <v>436</v>
      </c>
      <c r="D696" s="147" t="s">
        <v>917</v>
      </c>
      <c r="E696" s="147" t="s">
        <v>429</v>
      </c>
      <c r="F696" s="158">
        <v>0</v>
      </c>
      <c r="G696" s="155">
        <f t="shared" si="41"/>
        <v>0</v>
      </c>
      <c r="H696" s="155"/>
    </row>
    <row r="697" spans="1:8" ht="24">
      <c r="A697" s="153" t="s">
        <v>103</v>
      </c>
      <c r="B697" s="147" t="s">
        <v>431</v>
      </c>
      <c r="C697" s="147" t="s">
        <v>436</v>
      </c>
      <c r="D697" s="147" t="s">
        <v>104</v>
      </c>
      <c r="E697" s="147"/>
      <c r="F697" s="155">
        <f>F698</f>
        <v>4500</v>
      </c>
      <c r="G697" s="155">
        <f t="shared" si="41"/>
        <v>4500</v>
      </c>
      <c r="H697" s="155"/>
    </row>
    <row r="698" spans="1:8" ht="24">
      <c r="A698" s="157" t="s">
        <v>1006</v>
      </c>
      <c r="B698" s="147" t="s">
        <v>431</v>
      </c>
      <c r="C698" s="147" t="s">
        <v>436</v>
      </c>
      <c r="D698" s="147" t="s">
        <v>105</v>
      </c>
      <c r="E698" s="147"/>
      <c r="F698" s="155">
        <f>F699</f>
        <v>4500</v>
      </c>
      <c r="G698" s="155">
        <f t="shared" si="41"/>
        <v>4500</v>
      </c>
      <c r="H698" s="155"/>
    </row>
    <row r="699" spans="1:8" ht="15">
      <c r="A699" s="157" t="s">
        <v>573</v>
      </c>
      <c r="B699" s="147" t="s">
        <v>431</v>
      </c>
      <c r="C699" s="147" t="s">
        <v>436</v>
      </c>
      <c r="D699" s="147" t="s">
        <v>105</v>
      </c>
      <c r="E699" s="147" t="s">
        <v>489</v>
      </c>
      <c r="F699" s="155">
        <f>F700</f>
        <v>4500</v>
      </c>
      <c r="G699" s="155">
        <f>F699-H699</f>
        <v>4500</v>
      </c>
      <c r="H699" s="155"/>
    </row>
    <row r="700" spans="1:8" ht="24">
      <c r="A700" s="157" t="s">
        <v>572</v>
      </c>
      <c r="B700" s="147" t="s">
        <v>431</v>
      </c>
      <c r="C700" s="147" t="s">
        <v>436</v>
      </c>
      <c r="D700" s="147" t="s">
        <v>105</v>
      </c>
      <c r="E700" s="147" t="s">
        <v>574</v>
      </c>
      <c r="F700" s="158">
        <f>2000+2500</f>
        <v>4500</v>
      </c>
      <c r="G700" s="158">
        <f>F700-H700</f>
        <v>4500</v>
      </c>
      <c r="H700" s="155"/>
    </row>
    <row r="701" spans="1:8" ht="36">
      <c r="A701" s="157" t="s">
        <v>106</v>
      </c>
      <c r="B701" s="147" t="s">
        <v>431</v>
      </c>
      <c r="C701" s="147" t="s">
        <v>436</v>
      </c>
      <c r="D701" s="147" t="s">
        <v>107</v>
      </c>
      <c r="E701" s="147"/>
      <c r="F701" s="155">
        <f>F702</f>
        <v>100</v>
      </c>
      <c r="G701" s="155">
        <f>F701</f>
        <v>100</v>
      </c>
      <c r="H701" s="155"/>
    </row>
    <row r="702" spans="1:8" ht="36">
      <c r="A702" s="157" t="s">
        <v>108</v>
      </c>
      <c r="B702" s="147" t="s">
        <v>431</v>
      </c>
      <c r="C702" s="147" t="s">
        <v>436</v>
      </c>
      <c r="D702" s="147" t="s">
        <v>109</v>
      </c>
      <c r="E702" s="147"/>
      <c r="F702" s="155">
        <f>F703</f>
        <v>100</v>
      </c>
      <c r="G702" s="155">
        <f>F702</f>
        <v>100</v>
      </c>
      <c r="H702" s="155"/>
    </row>
    <row r="703" spans="1:8" ht="15">
      <c r="A703" s="153" t="s">
        <v>985</v>
      </c>
      <c r="B703" s="147" t="s">
        <v>431</v>
      </c>
      <c r="C703" s="147" t="s">
        <v>436</v>
      </c>
      <c r="D703" s="147" t="s">
        <v>109</v>
      </c>
      <c r="E703" s="169" t="s">
        <v>986</v>
      </c>
      <c r="F703" s="155">
        <f>F704</f>
        <v>100</v>
      </c>
      <c r="G703" s="155">
        <f>F703-H703</f>
        <v>100</v>
      </c>
      <c r="H703" s="175"/>
    </row>
    <row r="704" spans="1:8" ht="15">
      <c r="A704" s="157" t="s">
        <v>987</v>
      </c>
      <c r="B704" s="147" t="s">
        <v>431</v>
      </c>
      <c r="C704" s="147" t="s">
        <v>436</v>
      </c>
      <c r="D704" s="147" t="s">
        <v>109</v>
      </c>
      <c r="E704" s="147" t="s">
        <v>988</v>
      </c>
      <c r="F704" s="158">
        <f>100</f>
        <v>100</v>
      </c>
      <c r="G704" s="155">
        <f>F704-H704</f>
        <v>100</v>
      </c>
      <c r="H704" s="176"/>
    </row>
    <row r="705" spans="1:8" ht="24">
      <c r="A705" s="157" t="s">
        <v>110</v>
      </c>
      <c r="B705" s="147" t="s">
        <v>431</v>
      </c>
      <c r="C705" s="147" t="s">
        <v>436</v>
      </c>
      <c r="D705" s="147" t="s">
        <v>112</v>
      </c>
      <c r="E705" s="147"/>
      <c r="F705" s="155">
        <f>F706</f>
        <v>100</v>
      </c>
      <c r="G705" s="155">
        <f>G706</f>
        <v>100</v>
      </c>
      <c r="H705" s="176"/>
    </row>
    <row r="706" spans="1:8" ht="15">
      <c r="A706" s="157" t="s">
        <v>111</v>
      </c>
      <c r="B706" s="147" t="s">
        <v>431</v>
      </c>
      <c r="C706" s="147" t="s">
        <v>436</v>
      </c>
      <c r="D706" s="147" t="s">
        <v>113</v>
      </c>
      <c r="E706" s="147"/>
      <c r="F706" s="155">
        <f>F707+F709</f>
        <v>100</v>
      </c>
      <c r="G706" s="155">
        <f>G707+G709</f>
        <v>100</v>
      </c>
      <c r="H706" s="176"/>
    </row>
    <row r="707" spans="1:8" ht="24">
      <c r="A707" s="153" t="s">
        <v>974</v>
      </c>
      <c r="B707" s="147" t="s">
        <v>431</v>
      </c>
      <c r="C707" s="147" t="s">
        <v>436</v>
      </c>
      <c r="D707" s="147" t="s">
        <v>113</v>
      </c>
      <c r="E707" s="147" t="s">
        <v>529</v>
      </c>
      <c r="F707" s="155">
        <f>F708</f>
        <v>0</v>
      </c>
      <c r="G707" s="155">
        <f>G708</f>
        <v>0</v>
      </c>
      <c r="H707" s="176"/>
    </row>
    <row r="708" spans="1:8" ht="24">
      <c r="A708" s="153" t="s">
        <v>931</v>
      </c>
      <c r="B708" s="147" t="s">
        <v>431</v>
      </c>
      <c r="C708" s="147" t="s">
        <v>436</v>
      </c>
      <c r="D708" s="147" t="s">
        <v>113</v>
      </c>
      <c r="E708" s="147" t="s">
        <v>429</v>
      </c>
      <c r="F708" s="158">
        <v>0</v>
      </c>
      <c r="G708" s="158">
        <f>F708</f>
        <v>0</v>
      </c>
      <c r="H708" s="176"/>
    </row>
    <row r="709" spans="1:8" ht="15">
      <c r="A709" s="153" t="s">
        <v>985</v>
      </c>
      <c r="B709" s="147" t="s">
        <v>431</v>
      </c>
      <c r="C709" s="147" t="s">
        <v>436</v>
      </c>
      <c r="D709" s="147" t="s">
        <v>113</v>
      </c>
      <c r="E709" s="147" t="s">
        <v>986</v>
      </c>
      <c r="F709" s="155">
        <f>F710</f>
        <v>100</v>
      </c>
      <c r="G709" s="155">
        <f>G710</f>
        <v>100</v>
      </c>
      <c r="H709" s="176"/>
    </row>
    <row r="710" spans="1:8" ht="15">
      <c r="A710" s="157" t="s">
        <v>987</v>
      </c>
      <c r="B710" s="147" t="s">
        <v>431</v>
      </c>
      <c r="C710" s="147" t="s">
        <v>436</v>
      </c>
      <c r="D710" s="147" t="s">
        <v>113</v>
      </c>
      <c r="E710" s="147" t="s">
        <v>988</v>
      </c>
      <c r="F710" s="158">
        <v>100</v>
      </c>
      <c r="G710" s="158">
        <v>100</v>
      </c>
      <c r="H710" s="176"/>
    </row>
    <row r="711" spans="1:8" ht="36">
      <c r="A711" s="159" t="s">
        <v>309</v>
      </c>
      <c r="B711" s="147" t="s">
        <v>431</v>
      </c>
      <c r="C711" s="147" t="s">
        <v>436</v>
      </c>
      <c r="D711" s="147" t="s">
        <v>146</v>
      </c>
      <c r="E711" s="147"/>
      <c r="F711" s="155">
        <f>F714</f>
        <v>160</v>
      </c>
      <c r="G711" s="155">
        <f>F711-H711</f>
        <v>160</v>
      </c>
      <c r="H711" s="176"/>
    </row>
    <row r="712" spans="1:8" ht="24">
      <c r="A712" s="159" t="s">
        <v>145</v>
      </c>
      <c r="B712" s="147" t="s">
        <v>431</v>
      </c>
      <c r="C712" s="147" t="s">
        <v>436</v>
      </c>
      <c r="D712" s="147" t="s">
        <v>147</v>
      </c>
      <c r="E712" s="147"/>
      <c r="F712" s="155">
        <f>F713</f>
        <v>160</v>
      </c>
      <c r="G712" s="155">
        <f>G713</f>
        <v>160</v>
      </c>
      <c r="H712" s="176"/>
    </row>
    <row r="713" spans="1:8" ht="24">
      <c r="A713" s="159" t="s">
        <v>148</v>
      </c>
      <c r="B713" s="147" t="s">
        <v>431</v>
      </c>
      <c r="C713" s="147" t="s">
        <v>436</v>
      </c>
      <c r="D713" s="147" t="s">
        <v>149</v>
      </c>
      <c r="E713" s="147"/>
      <c r="F713" s="155">
        <f>F714</f>
        <v>160</v>
      </c>
      <c r="G713" s="155">
        <f>G714</f>
        <v>160</v>
      </c>
      <c r="H713" s="176"/>
    </row>
    <row r="714" spans="1:8" ht="24">
      <c r="A714" s="153" t="s">
        <v>974</v>
      </c>
      <c r="B714" s="147" t="s">
        <v>431</v>
      </c>
      <c r="C714" s="147" t="s">
        <v>436</v>
      </c>
      <c r="D714" s="147" t="s">
        <v>149</v>
      </c>
      <c r="E714" s="147" t="s">
        <v>529</v>
      </c>
      <c r="F714" s="158">
        <f>F715</f>
        <v>160</v>
      </c>
      <c r="G714" s="155">
        <f>F714-H714</f>
        <v>160</v>
      </c>
      <c r="H714" s="176"/>
    </row>
    <row r="715" spans="1:8" ht="24">
      <c r="A715" s="153" t="s">
        <v>931</v>
      </c>
      <c r="B715" s="147" t="s">
        <v>431</v>
      </c>
      <c r="C715" s="147" t="s">
        <v>436</v>
      </c>
      <c r="D715" s="147" t="s">
        <v>149</v>
      </c>
      <c r="E715" s="147" t="s">
        <v>429</v>
      </c>
      <c r="F715" s="158">
        <f>160</f>
        <v>160</v>
      </c>
      <c r="G715" s="158">
        <f>F715-H715</f>
        <v>160</v>
      </c>
      <c r="H715" s="155"/>
    </row>
    <row r="716" spans="1:8" ht="72">
      <c r="A716" s="152" t="s">
        <v>1437</v>
      </c>
      <c r="B716" s="147" t="s">
        <v>431</v>
      </c>
      <c r="C716" s="147" t="s">
        <v>436</v>
      </c>
      <c r="D716" s="147" t="s">
        <v>150</v>
      </c>
      <c r="E716" s="147"/>
      <c r="F716" s="155">
        <f>F717+F721+F725</f>
        <v>4845</v>
      </c>
      <c r="G716" s="155">
        <f>F716-H716</f>
        <v>4845</v>
      </c>
      <c r="H716" s="176"/>
    </row>
    <row r="717" spans="1:8" ht="36">
      <c r="A717" s="152" t="s">
        <v>580</v>
      </c>
      <c r="B717" s="147" t="s">
        <v>431</v>
      </c>
      <c r="C717" s="147" t="s">
        <v>436</v>
      </c>
      <c r="D717" s="147" t="s">
        <v>151</v>
      </c>
      <c r="E717" s="147"/>
      <c r="F717" s="155">
        <f aca="true" t="shared" si="42" ref="F717:G719">F718</f>
        <v>4045</v>
      </c>
      <c r="G717" s="155">
        <f t="shared" si="42"/>
        <v>4045</v>
      </c>
      <c r="H717" s="176"/>
    </row>
    <row r="718" spans="1:8" ht="24">
      <c r="A718" s="152" t="s">
        <v>581</v>
      </c>
      <c r="B718" s="147" t="s">
        <v>431</v>
      </c>
      <c r="C718" s="147" t="s">
        <v>436</v>
      </c>
      <c r="D718" s="147" t="s">
        <v>152</v>
      </c>
      <c r="E718" s="147"/>
      <c r="F718" s="155">
        <f t="shared" si="42"/>
        <v>4045</v>
      </c>
      <c r="G718" s="155">
        <f t="shared" si="42"/>
        <v>4045</v>
      </c>
      <c r="H718" s="176"/>
    </row>
    <row r="719" spans="1:8" ht="15">
      <c r="A719" s="157" t="s">
        <v>573</v>
      </c>
      <c r="B719" s="147" t="s">
        <v>431</v>
      </c>
      <c r="C719" s="147" t="s">
        <v>436</v>
      </c>
      <c r="D719" s="147" t="s">
        <v>152</v>
      </c>
      <c r="E719" s="169" t="s">
        <v>489</v>
      </c>
      <c r="F719" s="155">
        <f t="shared" si="42"/>
        <v>4045</v>
      </c>
      <c r="G719" s="155">
        <f t="shared" si="42"/>
        <v>4045</v>
      </c>
      <c r="H719" s="155"/>
    </row>
    <row r="720" spans="1:8" ht="24">
      <c r="A720" s="157" t="s">
        <v>572</v>
      </c>
      <c r="B720" s="147" t="s">
        <v>431</v>
      </c>
      <c r="C720" s="147" t="s">
        <v>436</v>
      </c>
      <c r="D720" s="147" t="s">
        <v>152</v>
      </c>
      <c r="E720" s="169" t="s">
        <v>574</v>
      </c>
      <c r="F720" s="158">
        <f>4045</f>
        <v>4045</v>
      </c>
      <c r="G720" s="155">
        <f>F720</f>
        <v>4045</v>
      </c>
      <c r="H720" s="155"/>
    </row>
    <row r="721" spans="1:8" ht="24">
      <c r="A721" s="157" t="s">
        <v>1204</v>
      </c>
      <c r="B721" s="147" t="s">
        <v>431</v>
      </c>
      <c r="C721" s="147" t="s">
        <v>436</v>
      </c>
      <c r="D721" s="147" t="s">
        <v>1206</v>
      </c>
      <c r="E721" s="169"/>
      <c r="F721" s="279">
        <f aca="true" t="shared" si="43" ref="F721:G723">F722</f>
        <v>500</v>
      </c>
      <c r="G721" s="155">
        <f t="shared" si="43"/>
        <v>500</v>
      </c>
      <c r="H721" s="155"/>
    </row>
    <row r="722" spans="1:8" ht="15">
      <c r="A722" s="157" t="s">
        <v>1205</v>
      </c>
      <c r="B722" s="147" t="s">
        <v>431</v>
      </c>
      <c r="C722" s="147" t="s">
        <v>436</v>
      </c>
      <c r="D722" s="147" t="s">
        <v>1206</v>
      </c>
      <c r="E722" s="169"/>
      <c r="F722" s="279">
        <f t="shared" si="43"/>
        <v>500</v>
      </c>
      <c r="G722" s="155">
        <f t="shared" si="43"/>
        <v>500</v>
      </c>
      <c r="H722" s="155"/>
    </row>
    <row r="723" spans="1:8" ht="24">
      <c r="A723" s="153" t="s">
        <v>974</v>
      </c>
      <c r="B723" s="147" t="s">
        <v>431</v>
      </c>
      <c r="C723" s="147" t="s">
        <v>436</v>
      </c>
      <c r="D723" s="147" t="s">
        <v>1206</v>
      </c>
      <c r="E723" s="147" t="s">
        <v>529</v>
      </c>
      <c r="F723" s="279">
        <f t="shared" si="43"/>
        <v>500</v>
      </c>
      <c r="G723" s="155">
        <f t="shared" si="43"/>
        <v>500</v>
      </c>
      <c r="H723" s="155"/>
    </row>
    <row r="724" spans="1:8" ht="24">
      <c r="A724" s="153" t="s">
        <v>931</v>
      </c>
      <c r="B724" s="147" t="s">
        <v>431</v>
      </c>
      <c r="C724" s="147" t="s">
        <v>436</v>
      </c>
      <c r="D724" s="147" t="s">
        <v>1206</v>
      </c>
      <c r="E724" s="147" t="s">
        <v>429</v>
      </c>
      <c r="F724" s="158">
        <v>500</v>
      </c>
      <c r="G724" s="155">
        <f>F724</f>
        <v>500</v>
      </c>
      <c r="H724" s="155"/>
    </row>
    <row r="725" spans="1:8" ht="24">
      <c r="A725" s="153" t="s">
        <v>1207</v>
      </c>
      <c r="B725" s="147" t="s">
        <v>431</v>
      </c>
      <c r="C725" s="147" t="s">
        <v>436</v>
      </c>
      <c r="D725" s="253" t="s">
        <v>1209</v>
      </c>
      <c r="E725" s="169"/>
      <c r="F725" s="155">
        <f aca="true" t="shared" si="44" ref="F725:G727">F726</f>
        <v>300</v>
      </c>
      <c r="G725" s="155">
        <f t="shared" si="44"/>
        <v>300</v>
      </c>
      <c r="H725" s="155"/>
    </row>
    <row r="726" spans="1:8" ht="15">
      <c r="A726" s="153" t="s">
        <v>547</v>
      </c>
      <c r="B726" s="147" t="s">
        <v>431</v>
      </c>
      <c r="C726" s="147" t="s">
        <v>436</v>
      </c>
      <c r="D726" s="147" t="s">
        <v>1208</v>
      </c>
      <c r="E726" s="169"/>
      <c r="F726" s="155">
        <f t="shared" si="44"/>
        <v>300</v>
      </c>
      <c r="G726" s="155">
        <f t="shared" si="44"/>
        <v>300</v>
      </c>
      <c r="H726" s="155"/>
    </row>
    <row r="727" spans="1:8" ht="24">
      <c r="A727" s="153" t="s">
        <v>974</v>
      </c>
      <c r="B727" s="147" t="s">
        <v>431</v>
      </c>
      <c r="C727" s="147" t="s">
        <v>436</v>
      </c>
      <c r="D727" s="147" t="s">
        <v>1208</v>
      </c>
      <c r="E727" s="147" t="s">
        <v>529</v>
      </c>
      <c r="F727" s="155">
        <f t="shared" si="44"/>
        <v>300</v>
      </c>
      <c r="G727" s="155">
        <f t="shared" si="44"/>
        <v>300</v>
      </c>
      <c r="H727" s="155"/>
    </row>
    <row r="728" spans="1:8" ht="24">
      <c r="A728" s="153" t="s">
        <v>931</v>
      </c>
      <c r="B728" s="147" t="s">
        <v>431</v>
      </c>
      <c r="C728" s="147" t="s">
        <v>436</v>
      </c>
      <c r="D728" s="147" t="s">
        <v>1208</v>
      </c>
      <c r="E728" s="147" t="s">
        <v>429</v>
      </c>
      <c r="F728" s="158">
        <v>300</v>
      </c>
      <c r="G728" s="155">
        <f>F728</f>
        <v>300</v>
      </c>
      <c r="H728" s="155"/>
    </row>
    <row r="729" spans="1:8" ht="15">
      <c r="A729" s="166" t="s">
        <v>937</v>
      </c>
      <c r="B729" s="168" t="s">
        <v>434</v>
      </c>
      <c r="C729" s="177"/>
      <c r="D729" s="177"/>
      <c r="E729" s="177"/>
      <c r="F729" s="1">
        <f>F730+F768+F887+F928+F937+F966</f>
        <v>3574804</v>
      </c>
      <c r="G729" s="167">
        <f>F729-H729</f>
        <v>1374147</v>
      </c>
      <c r="H729" s="1">
        <f>H730+H768+H887+H928+H937+H966</f>
        <v>2200657</v>
      </c>
    </row>
    <row r="730" spans="1:8" ht="15">
      <c r="A730" s="156" t="s">
        <v>938</v>
      </c>
      <c r="B730" s="147" t="s">
        <v>434</v>
      </c>
      <c r="C730" s="147" t="s">
        <v>1145</v>
      </c>
      <c r="D730" s="178"/>
      <c r="E730" s="178"/>
      <c r="F730" s="155">
        <f>F731</f>
        <v>1149377.3</v>
      </c>
      <c r="G730" s="151">
        <f>F730-H730</f>
        <v>376067.30000000005</v>
      </c>
      <c r="H730" s="155">
        <f>H731</f>
        <v>773310</v>
      </c>
    </row>
    <row r="731" spans="1:8" ht="36">
      <c r="A731" s="164" t="s">
        <v>1416</v>
      </c>
      <c r="B731" s="147" t="s">
        <v>434</v>
      </c>
      <c r="C731" s="147" t="s">
        <v>1145</v>
      </c>
      <c r="D731" s="147" t="s">
        <v>11</v>
      </c>
      <c r="E731" s="178"/>
      <c r="F731" s="155">
        <f>F732</f>
        <v>1149377.3</v>
      </c>
      <c r="G731" s="151">
        <f>G732</f>
        <v>375567.30000000005</v>
      </c>
      <c r="H731" s="155">
        <f>H732</f>
        <v>773310</v>
      </c>
    </row>
    <row r="732" spans="1:8" ht="15">
      <c r="A732" s="152" t="s">
        <v>1734</v>
      </c>
      <c r="B732" s="147" t="s">
        <v>434</v>
      </c>
      <c r="C732" s="147" t="s">
        <v>1145</v>
      </c>
      <c r="D732" s="147" t="s">
        <v>8</v>
      </c>
      <c r="E732" s="178"/>
      <c r="F732" s="155">
        <f>F733+F744+F759</f>
        <v>1149377.3</v>
      </c>
      <c r="G732" s="155">
        <f>G733+G744+G767</f>
        <v>375567.30000000005</v>
      </c>
      <c r="H732" s="155">
        <f>H733+H744+H759</f>
        <v>773310</v>
      </c>
    </row>
    <row r="733" spans="1:8" ht="48">
      <c r="A733" s="157" t="s">
        <v>1557</v>
      </c>
      <c r="B733" s="147" t="s">
        <v>434</v>
      </c>
      <c r="C733" s="147" t="s">
        <v>1145</v>
      </c>
      <c r="D733" s="147" t="s">
        <v>14</v>
      </c>
      <c r="E733" s="147"/>
      <c r="F733" s="155">
        <f>F734+F738</f>
        <v>68650</v>
      </c>
      <c r="G733" s="151">
        <f aca="true" t="shared" si="45" ref="G733:G741">F733</f>
        <v>68650</v>
      </c>
      <c r="H733" s="155"/>
    </row>
    <row r="734" spans="1:8" ht="72">
      <c r="A734" s="157" t="s">
        <v>1670</v>
      </c>
      <c r="B734" s="147" t="s">
        <v>434</v>
      </c>
      <c r="C734" s="147" t="s">
        <v>1145</v>
      </c>
      <c r="D734" s="147" t="s">
        <v>1671</v>
      </c>
      <c r="E734" s="147"/>
      <c r="F734" s="155">
        <f>F735</f>
        <v>52000</v>
      </c>
      <c r="G734" s="151">
        <f t="shared" si="45"/>
        <v>52000</v>
      </c>
      <c r="H734" s="155"/>
    </row>
    <row r="735" spans="1:8" ht="36">
      <c r="A735" s="152" t="s">
        <v>490</v>
      </c>
      <c r="B735" s="147" t="s">
        <v>434</v>
      </c>
      <c r="C735" s="147" t="s">
        <v>1145</v>
      </c>
      <c r="D735" s="147" t="s">
        <v>1671</v>
      </c>
      <c r="E735" s="147" t="s">
        <v>489</v>
      </c>
      <c r="F735" s="155">
        <f>F736</f>
        <v>52000</v>
      </c>
      <c r="G735" s="151">
        <f t="shared" si="45"/>
        <v>52000</v>
      </c>
      <c r="H735" s="155"/>
    </row>
    <row r="736" spans="1:8" ht="24">
      <c r="A736" s="157" t="s">
        <v>561</v>
      </c>
      <c r="B736" s="147" t="s">
        <v>434</v>
      </c>
      <c r="C736" s="147" t="s">
        <v>1145</v>
      </c>
      <c r="D736" s="147" t="s">
        <v>1671</v>
      </c>
      <c r="E736" s="147" t="s">
        <v>1126</v>
      </c>
      <c r="F736" s="155">
        <f>F737</f>
        <v>52000</v>
      </c>
      <c r="G736" s="151">
        <f t="shared" si="45"/>
        <v>52000</v>
      </c>
      <c r="H736" s="155"/>
    </row>
    <row r="737" spans="1:8" ht="24">
      <c r="A737" s="157" t="s">
        <v>1420</v>
      </c>
      <c r="B737" s="147" t="s">
        <v>434</v>
      </c>
      <c r="C737" s="147" t="s">
        <v>1145</v>
      </c>
      <c r="D737" s="147" t="s">
        <v>1671</v>
      </c>
      <c r="E737" s="147" t="s">
        <v>1126</v>
      </c>
      <c r="F737" s="158">
        <v>52000</v>
      </c>
      <c r="G737" s="151">
        <f t="shared" si="45"/>
        <v>52000</v>
      </c>
      <c r="H737" s="155"/>
    </row>
    <row r="738" spans="1:8" ht="36">
      <c r="A738" s="157" t="s">
        <v>13</v>
      </c>
      <c r="B738" s="147" t="s">
        <v>434</v>
      </c>
      <c r="C738" s="147" t="s">
        <v>1145</v>
      </c>
      <c r="D738" s="147" t="s">
        <v>15</v>
      </c>
      <c r="E738" s="147"/>
      <c r="F738" s="155">
        <f>F739</f>
        <v>16650</v>
      </c>
      <c r="G738" s="151">
        <f t="shared" si="45"/>
        <v>16650</v>
      </c>
      <c r="H738" s="155"/>
    </row>
    <row r="739" spans="1:8" ht="36">
      <c r="A739" s="152" t="s">
        <v>490</v>
      </c>
      <c r="B739" s="147" t="s">
        <v>434</v>
      </c>
      <c r="C739" s="147" t="s">
        <v>1145</v>
      </c>
      <c r="D739" s="147" t="s">
        <v>15</v>
      </c>
      <c r="E739" s="147" t="s">
        <v>489</v>
      </c>
      <c r="F739" s="279">
        <f>F740</f>
        <v>16650</v>
      </c>
      <c r="G739" s="151">
        <f t="shared" si="45"/>
        <v>16650</v>
      </c>
      <c r="H739" s="155"/>
    </row>
    <row r="740" spans="1:8" ht="24">
      <c r="A740" s="157" t="s">
        <v>561</v>
      </c>
      <c r="B740" s="147" t="s">
        <v>434</v>
      </c>
      <c r="C740" s="147" t="s">
        <v>1145</v>
      </c>
      <c r="D740" s="147" t="s">
        <v>15</v>
      </c>
      <c r="E740" s="147" t="s">
        <v>1126</v>
      </c>
      <c r="F740" s="279">
        <f>13000+F742+F743</f>
        <v>16650</v>
      </c>
      <c r="G740" s="151">
        <f t="shared" si="45"/>
        <v>16650</v>
      </c>
      <c r="H740" s="155"/>
    </row>
    <row r="741" spans="1:8" ht="24">
      <c r="A741" s="157" t="s">
        <v>1420</v>
      </c>
      <c r="B741" s="147" t="s">
        <v>434</v>
      </c>
      <c r="C741" s="147" t="s">
        <v>1145</v>
      </c>
      <c r="D741" s="147" t="s">
        <v>15</v>
      </c>
      <c r="E741" s="147" t="s">
        <v>1126</v>
      </c>
      <c r="F741" s="158">
        <v>13000</v>
      </c>
      <c r="G741" s="151">
        <f t="shared" si="45"/>
        <v>13000</v>
      </c>
      <c r="H741" s="155"/>
    </row>
    <row r="742" spans="1:8" ht="24">
      <c r="A742" s="157" t="s">
        <v>1735</v>
      </c>
      <c r="B742" s="147" t="s">
        <v>434</v>
      </c>
      <c r="C742" s="147" t="s">
        <v>1145</v>
      </c>
      <c r="D742" s="147" t="s">
        <v>15</v>
      </c>
      <c r="E742" s="147" t="s">
        <v>1126</v>
      </c>
      <c r="F742" s="158">
        <v>3500</v>
      </c>
      <c r="G742" s="151">
        <f>F742</f>
        <v>3500</v>
      </c>
      <c r="H742" s="321"/>
    </row>
    <row r="743" spans="1:8" ht="36">
      <c r="A743" s="157" t="s">
        <v>1813</v>
      </c>
      <c r="B743" s="147" t="s">
        <v>434</v>
      </c>
      <c r="C743" s="147" t="s">
        <v>1145</v>
      </c>
      <c r="D743" s="147" t="s">
        <v>15</v>
      </c>
      <c r="E743" s="147" t="s">
        <v>1126</v>
      </c>
      <c r="F743" s="158">
        <v>150</v>
      </c>
      <c r="G743" s="151">
        <f>F743</f>
        <v>150</v>
      </c>
      <c r="H743" s="331"/>
    </row>
    <row r="744" spans="1:8" ht="48">
      <c r="A744" s="157" t="s">
        <v>7</v>
      </c>
      <c r="B744" s="147" t="s">
        <v>434</v>
      </c>
      <c r="C744" s="147" t="s">
        <v>1145</v>
      </c>
      <c r="D744" s="147" t="s">
        <v>9</v>
      </c>
      <c r="E744" s="147"/>
      <c r="F744" s="155">
        <f>F745+F749+F752</f>
        <v>1080177.3</v>
      </c>
      <c r="G744" s="155">
        <f>G745+G749+G752</f>
        <v>306867.30000000005</v>
      </c>
      <c r="H744" s="256">
        <f>H745+H749</f>
        <v>773310</v>
      </c>
    </row>
    <row r="745" spans="1:8" ht="120">
      <c r="A745" s="179" t="s">
        <v>286</v>
      </c>
      <c r="B745" s="147" t="s">
        <v>434</v>
      </c>
      <c r="C745" s="147" t="s">
        <v>1145</v>
      </c>
      <c r="D745" s="147" t="s">
        <v>16</v>
      </c>
      <c r="E745" s="147"/>
      <c r="F745" s="155">
        <f>F746</f>
        <v>767721</v>
      </c>
      <c r="G745" s="151"/>
      <c r="H745" s="155">
        <f>H746</f>
        <v>767721</v>
      </c>
    </row>
    <row r="746" spans="1:8" ht="36">
      <c r="A746" s="152" t="s">
        <v>490</v>
      </c>
      <c r="B746" s="147" t="s">
        <v>434</v>
      </c>
      <c r="C746" s="147" t="s">
        <v>1145</v>
      </c>
      <c r="D746" s="147" t="s">
        <v>16</v>
      </c>
      <c r="E746" s="147" t="s">
        <v>489</v>
      </c>
      <c r="F746" s="155">
        <f>F747</f>
        <v>767721</v>
      </c>
      <c r="G746" s="151"/>
      <c r="H746" s="155">
        <f>H747</f>
        <v>767721</v>
      </c>
    </row>
    <row r="747" spans="1:8" ht="24">
      <c r="A747" s="157" t="s">
        <v>561</v>
      </c>
      <c r="B747" s="147" t="s">
        <v>434</v>
      </c>
      <c r="C747" s="147" t="s">
        <v>1145</v>
      </c>
      <c r="D747" s="147" t="s">
        <v>16</v>
      </c>
      <c r="E747" s="147" t="s">
        <v>1126</v>
      </c>
      <c r="F747" s="158">
        <f>683883+F748+47353+14566+7607</f>
        <v>767721</v>
      </c>
      <c r="G747" s="151"/>
      <c r="H747" s="155">
        <f>F747</f>
        <v>767721</v>
      </c>
    </row>
    <row r="748" spans="1:8" ht="36">
      <c r="A748" s="157" t="s">
        <v>184</v>
      </c>
      <c r="B748" s="147" t="s">
        <v>434</v>
      </c>
      <c r="C748" s="147" t="s">
        <v>1145</v>
      </c>
      <c r="D748" s="147" t="s">
        <v>16</v>
      </c>
      <c r="E748" s="147" t="s">
        <v>1126</v>
      </c>
      <c r="F748" s="158">
        <f>13379+933</f>
        <v>14312</v>
      </c>
      <c r="G748" s="151"/>
      <c r="H748" s="155">
        <f>F748</f>
        <v>14312</v>
      </c>
    </row>
    <row r="749" spans="1:8" ht="108">
      <c r="A749" s="191" t="s">
        <v>744</v>
      </c>
      <c r="B749" s="147" t="s">
        <v>434</v>
      </c>
      <c r="C749" s="147" t="s">
        <v>1145</v>
      </c>
      <c r="D749" s="147" t="s">
        <v>17</v>
      </c>
      <c r="E749" s="147"/>
      <c r="F749" s="155">
        <f>F750</f>
        <v>5589</v>
      </c>
      <c r="G749" s="151"/>
      <c r="H749" s="155">
        <f>H750</f>
        <v>5589</v>
      </c>
    </row>
    <row r="750" spans="1:8" ht="36">
      <c r="A750" s="152" t="s">
        <v>490</v>
      </c>
      <c r="B750" s="147" t="s">
        <v>434</v>
      </c>
      <c r="C750" s="147" t="s">
        <v>1145</v>
      </c>
      <c r="D750" s="147" t="s">
        <v>17</v>
      </c>
      <c r="E750" s="147" t="s">
        <v>489</v>
      </c>
      <c r="F750" s="155">
        <f>F751</f>
        <v>5589</v>
      </c>
      <c r="G750" s="151"/>
      <c r="H750" s="155">
        <f>H751</f>
        <v>5589</v>
      </c>
    </row>
    <row r="751" spans="1:8" ht="24">
      <c r="A751" s="157" t="s">
        <v>18</v>
      </c>
      <c r="B751" s="147" t="s">
        <v>434</v>
      </c>
      <c r="C751" s="147" t="s">
        <v>1145</v>
      </c>
      <c r="D751" s="147" t="s">
        <v>17</v>
      </c>
      <c r="E751" s="147" t="s">
        <v>595</v>
      </c>
      <c r="F751" s="158">
        <f>2990+2115+308+113+56+7</f>
        <v>5589</v>
      </c>
      <c r="G751" s="151"/>
      <c r="H751" s="155">
        <f>F751</f>
        <v>5589</v>
      </c>
    </row>
    <row r="752" spans="1:8" ht="36">
      <c r="A752" s="157" t="s">
        <v>13</v>
      </c>
      <c r="B752" s="147" t="s">
        <v>434</v>
      </c>
      <c r="C752" s="147" t="s">
        <v>1145</v>
      </c>
      <c r="D752" s="147" t="s">
        <v>1195</v>
      </c>
      <c r="E752" s="147"/>
      <c r="F752" s="155">
        <f>F753</f>
        <v>306867.30000000005</v>
      </c>
      <c r="G752" s="151">
        <f>G753</f>
        <v>306867.30000000005</v>
      </c>
      <c r="H752" s="155"/>
    </row>
    <row r="753" spans="1:8" ht="36">
      <c r="A753" s="152" t="s">
        <v>490</v>
      </c>
      <c r="B753" s="147" t="s">
        <v>434</v>
      </c>
      <c r="C753" s="147" t="s">
        <v>1145</v>
      </c>
      <c r="D753" s="147" t="s">
        <v>1195</v>
      </c>
      <c r="E753" s="147" t="s">
        <v>489</v>
      </c>
      <c r="F753" s="155">
        <f>F754</f>
        <v>306867.30000000005</v>
      </c>
      <c r="G753" s="155">
        <f aca="true" t="shared" si="46" ref="G753:G767">F753-H753</f>
        <v>306867.30000000005</v>
      </c>
      <c r="H753" s="158"/>
    </row>
    <row r="754" spans="1:8" ht="24">
      <c r="A754" s="157" t="s">
        <v>561</v>
      </c>
      <c r="B754" s="150" t="s">
        <v>434</v>
      </c>
      <c r="C754" s="150" t="s">
        <v>1145</v>
      </c>
      <c r="D754" s="147" t="s">
        <v>1195</v>
      </c>
      <c r="E754" s="150" t="s">
        <v>1126</v>
      </c>
      <c r="F754" s="158">
        <f>234736-330+44022.9-44937.9+F755+F756+F757+28728.5+F758+30000+8000+2950</f>
        <v>306867.30000000005</v>
      </c>
      <c r="G754" s="155">
        <f t="shared" si="46"/>
        <v>306867.30000000005</v>
      </c>
      <c r="H754" s="158"/>
    </row>
    <row r="755" spans="1:8" ht="36">
      <c r="A755" s="157" t="s">
        <v>1608</v>
      </c>
      <c r="B755" s="150" t="s">
        <v>434</v>
      </c>
      <c r="C755" s="150" t="s">
        <v>1145</v>
      </c>
      <c r="D755" s="147" t="s">
        <v>1195</v>
      </c>
      <c r="E755" s="150" t="s">
        <v>1126</v>
      </c>
      <c r="F755" s="158">
        <f>14850-14850</f>
        <v>0</v>
      </c>
      <c r="G755" s="155">
        <f>F755</f>
        <v>0</v>
      </c>
      <c r="H755" s="158"/>
    </row>
    <row r="756" spans="1:8" ht="24">
      <c r="A756" s="157" t="s">
        <v>1609</v>
      </c>
      <c r="B756" s="150" t="s">
        <v>434</v>
      </c>
      <c r="C756" s="150" t="s">
        <v>1145</v>
      </c>
      <c r="D756" s="147" t="s">
        <v>1195</v>
      </c>
      <c r="E756" s="150" t="s">
        <v>1126</v>
      </c>
      <c r="F756" s="158">
        <v>1577.8</v>
      </c>
      <c r="G756" s="155">
        <f>F756</f>
        <v>1577.8</v>
      </c>
      <c r="H756" s="158"/>
    </row>
    <row r="757" spans="1:8" ht="27" customHeight="1">
      <c r="A757" s="157" t="s">
        <v>1672</v>
      </c>
      <c r="B757" s="150" t="s">
        <v>434</v>
      </c>
      <c r="C757" s="150" t="s">
        <v>1145</v>
      </c>
      <c r="D757" s="147" t="s">
        <v>1195</v>
      </c>
      <c r="E757" s="150" t="s">
        <v>1126</v>
      </c>
      <c r="F757" s="158">
        <v>20</v>
      </c>
      <c r="G757" s="155">
        <f>F757</f>
        <v>20</v>
      </c>
      <c r="H757" s="158"/>
    </row>
    <row r="758" spans="1:8" ht="36">
      <c r="A758" s="157" t="s">
        <v>1715</v>
      </c>
      <c r="B758" s="150" t="s">
        <v>434</v>
      </c>
      <c r="C758" s="150" t="s">
        <v>1145</v>
      </c>
      <c r="D758" s="147" t="s">
        <v>1195</v>
      </c>
      <c r="E758" s="150" t="s">
        <v>1126</v>
      </c>
      <c r="F758" s="158">
        <v>2100</v>
      </c>
      <c r="G758" s="155">
        <f>F758</f>
        <v>2100</v>
      </c>
      <c r="H758" s="158"/>
    </row>
    <row r="759" spans="1:8" ht="48">
      <c r="A759" s="157" t="s">
        <v>1558</v>
      </c>
      <c r="B759" s="150" t="s">
        <v>434</v>
      </c>
      <c r="C759" s="150" t="s">
        <v>1145</v>
      </c>
      <c r="D759" s="147" t="s">
        <v>1559</v>
      </c>
      <c r="E759" s="150"/>
      <c r="F759" s="279">
        <f>F760+F764</f>
        <v>550</v>
      </c>
      <c r="G759" s="155">
        <f t="shared" si="46"/>
        <v>550</v>
      </c>
      <c r="H759" s="158"/>
    </row>
    <row r="760" spans="1:8" ht="72">
      <c r="A760" s="157" t="s">
        <v>1673</v>
      </c>
      <c r="B760" s="150" t="s">
        <v>434</v>
      </c>
      <c r="C760" s="150" t="s">
        <v>1145</v>
      </c>
      <c r="D760" s="147" t="s">
        <v>1674</v>
      </c>
      <c r="E760" s="150"/>
      <c r="F760" s="279">
        <f>F761</f>
        <v>500</v>
      </c>
      <c r="G760" s="155">
        <f t="shared" si="46"/>
        <v>500</v>
      </c>
      <c r="H760" s="158"/>
    </row>
    <row r="761" spans="1:8" ht="36">
      <c r="A761" s="152" t="s">
        <v>490</v>
      </c>
      <c r="B761" s="150" t="s">
        <v>434</v>
      </c>
      <c r="C761" s="150" t="s">
        <v>1145</v>
      </c>
      <c r="D761" s="147" t="s">
        <v>1674</v>
      </c>
      <c r="E761" s="150" t="s">
        <v>489</v>
      </c>
      <c r="F761" s="279">
        <f>F762</f>
        <v>500</v>
      </c>
      <c r="G761" s="155">
        <f t="shared" si="46"/>
        <v>500</v>
      </c>
      <c r="H761" s="158"/>
    </row>
    <row r="762" spans="1:8" ht="24">
      <c r="A762" s="157" t="s">
        <v>561</v>
      </c>
      <c r="B762" s="150" t="s">
        <v>434</v>
      </c>
      <c r="C762" s="150" t="s">
        <v>1145</v>
      </c>
      <c r="D762" s="147" t="s">
        <v>1674</v>
      </c>
      <c r="E762" s="150" t="s">
        <v>1126</v>
      </c>
      <c r="F762" s="279">
        <f>F763</f>
        <v>500</v>
      </c>
      <c r="G762" s="155">
        <f t="shared" si="46"/>
        <v>500</v>
      </c>
      <c r="H762" s="158"/>
    </row>
    <row r="763" spans="1:8" ht="24">
      <c r="A763" s="157" t="s">
        <v>1675</v>
      </c>
      <c r="B763" s="150" t="s">
        <v>434</v>
      </c>
      <c r="C763" s="150" t="s">
        <v>1145</v>
      </c>
      <c r="D763" s="147" t="s">
        <v>1674</v>
      </c>
      <c r="E763" s="150" t="s">
        <v>1126</v>
      </c>
      <c r="F763" s="158">
        <v>500</v>
      </c>
      <c r="G763" s="155">
        <f t="shared" si="46"/>
        <v>500</v>
      </c>
      <c r="H763" s="158"/>
    </row>
    <row r="764" spans="1:8" ht="36">
      <c r="A764" s="157" t="s">
        <v>13</v>
      </c>
      <c r="B764" s="150" t="s">
        <v>434</v>
      </c>
      <c r="C764" s="150" t="s">
        <v>1145</v>
      </c>
      <c r="D764" s="147" t="s">
        <v>1560</v>
      </c>
      <c r="E764" s="150"/>
      <c r="F764" s="279">
        <f>F765</f>
        <v>50</v>
      </c>
      <c r="G764" s="155">
        <f t="shared" si="46"/>
        <v>50</v>
      </c>
      <c r="H764" s="158"/>
    </row>
    <row r="765" spans="1:8" ht="36">
      <c r="A765" s="152" t="s">
        <v>490</v>
      </c>
      <c r="B765" s="150" t="s">
        <v>434</v>
      </c>
      <c r="C765" s="150" t="s">
        <v>1145</v>
      </c>
      <c r="D765" s="147" t="s">
        <v>1560</v>
      </c>
      <c r="E765" s="150" t="s">
        <v>489</v>
      </c>
      <c r="F765" s="279">
        <f>F766</f>
        <v>50</v>
      </c>
      <c r="G765" s="155">
        <f t="shared" si="46"/>
        <v>50</v>
      </c>
      <c r="H765" s="158"/>
    </row>
    <row r="766" spans="1:8" ht="15">
      <c r="A766" s="157" t="s">
        <v>1125</v>
      </c>
      <c r="B766" s="150" t="s">
        <v>434</v>
      </c>
      <c r="C766" s="150" t="s">
        <v>1145</v>
      </c>
      <c r="D766" s="147" t="s">
        <v>1560</v>
      </c>
      <c r="E766" s="150" t="s">
        <v>1126</v>
      </c>
      <c r="F766" s="279">
        <f>F767</f>
        <v>50</v>
      </c>
      <c r="G766" s="155">
        <f t="shared" si="46"/>
        <v>50</v>
      </c>
      <c r="H766" s="158"/>
    </row>
    <row r="767" spans="1:8" ht="60">
      <c r="A767" s="157" t="s">
        <v>1561</v>
      </c>
      <c r="B767" s="150" t="s">
        <v>434</v>
      </c>
      <c r="C767" s="150" t="s">
        <v>1145</v>
      </c>
      <c r="D767" s="147" t="s">
        <v>1560</v>
      </c>
      <c r="E767" s="150" t="s">
        <v>1126</v>
      </c>
      <c r="F767" s="158">
        <f>250-30-170</f>
        <v>50</v>
      </c>
      <c r="G767" s="155">
        <f t="shared" si="46"/>
        <v>50</v>
      </c>
      <c r="H767" s="158"/>
    </row>
    <row r="768" spans="1:8" ht="15">
      <c r="A768" s="156" t="s">
        <v>317</v>
      </c>
      <c r="B768" s="147" t="s">
        <v>434</v>
      </c>
      <c r="C768" s="147" t="s">
        <v>405</v>
      </c>
      <c r="D768" s="147"/>
      <c r="E768" s="147"/>
      <c r="F768" s="279">
        <f>F769+F878</f>
        <v>1909399.7000000002</v>
      </c>
      <c r="G768" s="279">
        <f>G769+G878</f>
        <v>487400.69999999995</v>
      </c>
      <c r="H768" s="279">
        <f>H769+H878</f>
        <v>1421999</v>
      </c>
    </row>
    <row r="769" spans="1:8" ht="36">
      <c r="A769" s="164" t="s">
        <v>1416</v>
      </c>
      <c r="B769" s="183" t="s">
        <v>434</v>
      </c>
      <c r="C769" s="183" t="s">
        <v>405</v>
      </c>
      <c r="D769" s="184" t="s">
        <v>3</v>
      </c>
      <c r="E769" s="147"/>
      <c r="F769" s="155">
        <f>F770+F863</f>
        <v>1901691.7000000002</v>
      </c>
      <c r="G769" s="155">
        <f>G770+G863</f>
        <v>479692.69999999995</v>
      </c>
      <c r="H769" s="155">
        <f>H770+H863</f>
        <v>1421999</v>
      </c>
    </row>
    <row r="770" spans="1:8" ht="15">
      <c r="A770" s="179" t="s">
        <v>1736</v>
      </c>
      <c r="B770" s="183" t="s">
        <v>434</v>
      </c>
      <c r="C770" s="183" t="s">
        <v>405</v>
      </c>
      <c r="D770" s="185" t="s">
        <v>4</v>
      </c>
      <c r="E770" s="147"/>
      <c r="F770" s="155">
        <f>F771+F784+F856+F802+F823</f>
        <v>1901441.7000000002</v>
      </c>
      <c r="G770" s="155">
        <f>G771+G784+G856+G802+G823</f>
        <v>479442.69999999995</v>
      </c>
      <c r="H770" s="155">
        <f>H771+H784+H856+H802+H823</f>
        <v>1421999</v>
      </c>
    </row>
    <row r="771" spans="1:8" ht="48">
      <c r="A771" s="179" t="s">
        <v>837</v>
      </c>
      <c r="B771" s="183" t="s">
        <v>434</v>
      </c>
      <c r="C771" s="183" t="s">
        <v>405</v>
      </c>
      <c r="D771" s="185" t="s">
        <v>5</v>
      </c>
      <c r="E771" s="147"/>
      <c r="F771" s="155">
        <f>F772+F777+F780</f>
        <v>84518</v>
      </c>
      <c r="G771" s="155">
        <f>G772+G777+G780</f>
        <v>0</v>
      </c>
      <c r="H771" s="155">
        <f>H772+H777+H780</f>
        <v>84518</v>
      </c>
    </row>
    <row r="772" spans="1:8" ht="84">
      <c r="A772" s="152" t="s">
        <v>164</v>
      </c>
      <c r="B772" s="147" t="s">
        <v>434</v>
      </c>
      <c r="C772" s="147" t="s">
        <v>405</v>
      </c>
      <c r="D772" s="147" t="s">
        <v>1421</v>
      </c>
      <c r="E772" s="147"/>
      <c r="F772" s="155">
        <f>F773</f>
        <v>84124</v>
      </c>
      <c r="G772" s="155"/>
      <c r="H772" s="155">
        <f>H773</f>
        <v>84124</v>
      </c>
    </row>
    <row r="773" spans="1:8" ht="36">
      <c r="A773" s="152" t="s">
        <v>490</v>
      </c>
      <c r="B773" s="147" t="s">
        <v>434</v>
      </c>
      <c r="C773" s="147" t="s">
        <v>405</v>
      </c>
      <c r="D773" s="147" t="s">
        <v>1421</v>
      </c>
      <c r="E773" s="147" t="s">
        <v>489</v>
      </c>
      <c r="F773" s="155">
        <f>F774+F775+F776</f>
        <v>84124</v>
      </c>
      <c r="G773" s="155"/>
      <c r="H773" s="155">
        <f>H774+H775+H776</f>
        <v>84124</v>
      </c>
    </row>
    <row r="774" spans="1:8" ht="15">
      <c r="A774" s="157" t="s">
        <v>573</v>
      </c>
      <c r="B774" s="147" t="s">
        <v>434</v>
      </c>
      <c r="C774" s="147" t="s">
        <v>405</v>
      </c>
      <c r="D774" s="147" t="s">
        <v>1421</v>
      </c>
      <c r="E774" s="147" t="s">
        <v>574</v>
      </c>
      <c r="F774" s="158">
        <f>1200</f>
        <v>1200</v>
      </c>
      <c r="G774" s="155"/>
      <c r="H774" s="155">
        <f>F774</f>
        <v>1200</v>
      </c>
    </row>
    <row r="775" spans="1:8" ht="15">
      <c r="A775" s="157" t="s">
        <v>158</v>
      </c>
      <c r="B775" s="147" t="s">
        <v>434</v>
      </c>
      <c r="C775" s="147" t="s">
        <v>405</v>
      </c>
      <c r="D775" s="147" t="s">
        <v>1421</v>
      </c>
      <c r="E775" s="147" t="s">
        <v>1126</v>
      </c>
      <c r="F775" s="158">
        <f>81624</f>
        <v>81624</v>
      </c>
      <c r="G775" s="155"/>
      <c r="H775" s="155">
        <f>F775</f>
        <v>81624</v>
      </c>
    </row>
    <row r="776" spans="1:8" ht="36">
      <c r="A776" s="157" t="s">
        <v>796</v>
      </c>
      <c r="B776" s="150" t="s">
        <v>434</v>
      </c>
      <c r="C776" s="150" t="s">
        <v>405</v>
      </c>
      <c r="D776" s="147" t="s">
        <v>1421</v>
      </c>
      <c r="E776" s="150" t="s">
        <v>595</v>
      </c>
      <c r="F776" s="158">
        <f>1300</f>
        <v>1300</v>
      </c>
      <c r="G776" s="155"/>
      <c r="H776" s="155">
        <f>F776</f>
        <v>1300</v>
      </c>
    </row>
    <row r="777" spans="1:8" ht="72">
      <c r="A777" s="152" t="s">
        <v>187</v>
      </c>
      <c r="B777" s="147" t="s">
        <v>434</v>
      </c>
      <c r="C777" s="147" t="s">
        <v>405</v>
      </c>
      <c r="D777" s="147" t="s">
        <v>838</v>
      </c>
      <c r="E777" s="147"/>
      <c r="F777" s="155">
        <f>F778</f>
        <v>394</v>
      </c>
      <c r="G777" s="155"/>
      <c r="H777" s="155">
        <f>H778</f>
        <v>394</v>
      </c>
    </row>
    <row r="778" spans="1:8" ht="24">
      <c r="A778" s="153" t="s">
        <v>530</v>
      </c>
      <c r="B778" s="147" t="s">
        <v>434</v>
      </c>
      <c r="C778" s="147" t="s">
        <v>405</v>
      </c>
      <c r="D778" s="147" t="s">
        <v>838</v>
      </c>
      <c r="E778" s="147" t="s">
        <v>531</v>
      </c>
      <c r="F778" s="155">
        <f>F779</f>
        <v>394</v>
      </c>
      <c r="G778" s="155"/>
      <c r="H778" s="155">
        <f>H779</f>
        <v>394</v>
      </c>
    </row>
    <row r="779" spans="1:8" ht="24">
      <c r="A779" s="157" t="s">
        <v>1073</v>
      </c>
      <c r="B779" s="147" t="s">
        <v>434</v>
      </c>
      <c r="C779" s="147" t="s">
        <v>405</v>
      </c>
      <c r="D779" s="147" t="s">
        <v>838</v>
      </c>
      <c r="E779" s="147" t="s">
        <v>399</v>
      </c>
      <c r="F779" s="158">
        <v>394</v>
      </c>
      <c r="G779" s="155"/>
      <c r="H779" s="155">
        <f>F779</f>
        <v>394</v>
      </c>
    </row>
    <row r="780" spans="1:8" ht="24">
      <c r="A780" s="157" t="s">
        <v>671</v>
      </c>
      <c r="B780" s="150" t="s">
        <v>434</v>
      </c>
      <c r="C780" s="150" t="s">
        <v>405</v>
      </c>
      <c r="D780" s="147" t="s">
        <v>1422</v>
      </c>
      <c r="E780" s="150"/>
      <c r="F780" s="155">
        <f>F781</f>
        <v>0</v>
      </c>
      <c r="G780" s="155">
        <f>F780</f>
        <v>0</v>
      </c>
      <c r="H780" s="155"/>
    </row>
    <row r="781" spans="1:8" ht="36">
      <c r="A781" s="152" t="s">
        <v>490</v>
      </c>
      <c r="B781" s="150" t="s">
        <v>434</v>
      </c>
      <c r="C781" s="150" t="s">
        <v>405</v>
      </c>
      <c r="D781" s="147" t="s">
        <v>1422</v>
      </c>
      <c r="E781" s="150" t="s">
        <v>489</v>
      </c>
      <c r="F781" s="155">
        <f>F782+F783</f>
        <v>0</v>
      </c>
      <c r="G781" s="155">
        <f>F781</f>
        <v>0</v>
      </c>
      <c r="H781" s="155"/>
    </row>
    <row r="782" spans="1:8" ht="15">
      <c r="A782" s="157" t="s">
        <v>371</v>
      </c>
      <c r="B782" s="150" t="s">
        <v>434</v>
      </c>
      <c r="C782" s="150" t="s">
        <v>405</v>
      </c>
      <c r="D782" s="147" t="s">
        <v>1422</v>
      </c>
      <c r="E782" s="150" t="s">
        <v>574</v>
      </c>
      <c r="F782" s="158">
        <f>500-500</f>
        <v>0</v>
      </c>
      <c r="G782" s="155">
        <f>F782</f>
        <v>0</v>
      </c>
      <c r="H782" s="155"/>
    </row>
    <row r="783" spans="1:8" ht="15">
      <c r="A783" s="157" t="s">
        <v>158</v>
      </c>
      <c r="B783" s="150" t="s">
        <v>434</v>
      </c>
      <c r="C783" s="150" t="s">
        <v>405</v>
      </c>
      <c r="D783" s="147" t="s">
        <v>1422</v>
      </c>
      <c r="E783" s="150" t="s">
        <v>1126</v>
      </c>
      <c r="F783" s="158">
        <f>700-700</f>
        <v>0</v>
      </c>
      <c r="G783" s="155">
        <f>F783</f>
        <v>0</v>
      </c>
      <c r="H783" s="155"/>
    </row>
    <row r="784" spans="1:8" ht="36">
      <c r="A784" s="157" t="s">
        <v>1184</v>
      </c>
      <c r="B784" s="147" t="s">
        <v>434</v>
      </c>
      <c r="C784" s="147" t="s">
        <v>405</v>
      </c>
      <c r="D784" s="147" t="s">
        <v>1185</v>
      </c>
      <c r="E784" s="147"/>
      <c r="F784" s="155">
        <f>F785+F791+F794+F798</f>
        <v>1528615.5</v>
      </c>
      <c r="G784" s="155">
        <f>G785+G791+G794+G798</f>
        <v>191134.5</v>
      </c>
      <c r="H784" s="155">
        <f>H785+H791+H794+H798</f>
        <v>1337481</v>
      </c>
    </row>
    <row r="785" spans="1:8" ht="156">
      <c r="A785" s="152" t="s">
        <v>968</v>
      </c>
      <c r="B785" s="147" t="s">
        <v>434</v>
      </c>
      <c r="C785" s="147" t="s">
        <v>405</v>
      </c>
      <c r="D785" s="185" t="s">
        <v>1186</v>
      </c>
      <c r="E785" s="147"/>
      <c r="F785" s="155">
        <f>F786</f>
        <v>1321954</v>
      </c>
      <c r="G785" s="155"/>
      <c r="H785" s="155">
        <f>H786</f>
        <v>1321954</v>
      </c>
    </row>
    <row r="786" spans="1:8" ht="36">
      <c r="A786" s="152" t="s">
        <v>490</v>
      </c>
      <c r="B786" s="147" t="s">
        <v>434</v>
      </c>
      <c r="C786" s="147" t="s">
        <v>405</v>
      </c>
      <c r="D786" s="185" t="s">
        <v>1186</v>
      </c>
      <c r="E786" s="147" t="s">
        <v>489</v>
      </c>
      <c r="F786" s="155">
        <f>F787+F789</f>
        <v>1321954</v>
      </c>
      <c r="G786" s="155"/>
      <c r="H786" s="155">
        <f>H787+H789</f>
        <v>1321954</v>
      </c>
    </row>
    <row r="787" spans="1:8" ht="24">
      <c r="A787" s="157" t="s">
        <v>491</v>
      </c>
      <c r="B787" s="147" t="s">
        <v>434</v>
      </c>
      <c r="C787" s="147" t="s">
        <v>405</v>
      </c>
      <c r="D787" s="185" t="s">
        <v>1186</v>
      </c>
      <c r="E787" s="147" t="s">
        <v>574</v>
      </c>
      <c r="F787" s="158">
        <f>100000+F788+180+7308+1790+16</f>
        <v>109987</v>
      </c>
      <c r="G787" s="155"/>
      <c r="H787" s="158">
        <f aca="true" t="shared" si="47" ref="H787:H793">F787</f>
        <v>109987</v>
      </c>
    </row>
    <row r="788" spans="1:8" ht="36">
      <c r="A788" s="115" t="s">
        <v>184</v>
      </c>
      <c r="B788" s="147" t="s">
        <v>434</v>
      </c>
      <c r="C788" s="147" t="s">
        <v>405</v>
      </c>
      <c r="D788" s="185" t="s">
        <v>1186</v>
      </c>
      <c r="E788" s="147" t="s">
        <v>574</v>
      </c>
      <c r="F788" s="158">
        <f>648+45</f>
        <v>693</v>
      </c>
      <c r="G788" s="155"/>
      <c r="H788" s="158">
        <f t="shared" si="47"/>
        <v>693</v>
      </c>
    </row>
    <row r="789" spans="1:8" ht="24">
      <c r="A789" s="157" t="s">
        <v>561</v>
      </c>
      <c r="B789" s="147" t="s">
        <v>434</v>
      </c>
      <c r="C789" s="147" t="s">
        <v>405</v>
      </c>
      <c r="D789" s="185" t="s">
        <v>1186</v>
      </c>
      <c r="E789" s="147" t="s">
        <v>1126</v>
      </c>
      <c r="F789" s="158">
        <f>1108412+415+F790+11190+41000+9500+734</f>
        <v>1211967</v>
      </c>
      <c r="G789" s="155"/>
      <c r="H789" s="158">
        <f t="shared" si="47"/>
        <v>1211967</v>
      </c>
    </row>
    <row r="790" spans="1:8" ht="36">
      <c r="A790" s="115" t="s">
        <v>184</v>
      </c>
      <c r="B790" s="147" t="s">
        <v>434</v>
      </c>
      <c r="C790" s="147" t="s">
        <v>405</v>
      </c>
      <c r="D790" s="185" t="s">
        <v>1186</v>
      </c>
      <c r="E790" s="147" t="s">
        <v>1126</v>
      </c>
      <c r="F790" s="158">
        <f>38055+2661</f>
        <v>40716</v>
      </c>
      <c r="G790" s="155"/>
      <c r="H790" s="158">
        <f t="shared" si="47"/>
        <v>40716</v>
      </c>
    </row>
    <row r="791" spans="1:8" ht="156">
      <c r="A791" s="157" t="s">
        <v>995</v>
      </c>
      <c r="B791" s="150" t="s">
        <v>434</v>
      </c>
      <c r="C791" s="150" t="s">
        <v>405</v>
      </c>
      <c r="D791" s="150" t="s">
        <v>1187</v>
      </c>
      <c r="E791" s="150"/>
      <c r="F791" s="155">
        <f>F792</f>
        <v>15527</v>
      </c>
      <c r="G791" s="155"/>
      <c r="H791" s="155">
        <f t="shared" si="47"/>
        <v>15527</v>
      </c>
    </row>
    <row r="792" spans="1:8" ht="36">
      <c r="A792" s="152" t="s">
        <v>490</v>
      </c>
      <c r="B792" s="150" t="s">
        <v>434</v>
      </c>
      <c r="C792" s="150" t="s">
        <v>405</v>
      </c>
      <c r="D792" s="150" t="s">
        <v>1187</v>
      </c>
      <c r="E792" s="150" t="s">
        <v>489</v>
      </c>
      <c r="F792" s="155">
        <f>F793</f>
        <v>15527</v>
      </c>
      <c r="G792" s="155"/>
      <c r="H792" s="155">
        <f t="shared" si="47"/>
        <v>15527</v>
      </c>
    </row>
    <row r="793" spans="1:8" ht="36">
      <c r="A793" s="157" t="s">
        <v>796</v>
      </c>
      <c r="B793" s="150" t="s">
        <v>434</v>
      </c>
      <c r="C793" s="150" t="s">
        <v>405</v>
      </c>
      <c r="D793" s="150" t="s">
        <v>1187</v>
      </c>
      <c r="E793" s="150" t="s">
        <v>595</v>
      </c>
      <c r="F793" s="158">
        <f>16425-657-237-4</f>
        <v>15527</v>
      </c>
      <c r="G793" s="155"/>
      <c r="H793" s="155">
        <f t="shared" si="47"/>
        <v>15527</v>
      </c>
    </row>
    <row r="794" spans="1:8" ht="60">
      <c r="A794" s="152" t="s">
        <v>189</v>
      </c>
      <c r="B794" s="147" t="s">
        <v>434</v>
      </c>
      <c r="C794" s="147" t="s">
        <v>405</v>
      </c>
      <c r="D794" s="147" t="s">
        <v>1188</v>
      </c>
      <c r="E794" s="147"/>
      <c r="F794" s="155">
        <f>F795</f>
        <v>0</v>
      </c>
      <c r="G794" s="155"/>
      <c r="H794" s="155">
        <f>H795</f>
        <v>0</v>
      </c>
    </row>
    <row r="795" spans="1:8" ht="36">
      <c r="A795" s="152" t="s">
        <v>490</v>
      </c>
      <c r="B795" s="147" t="s">
        <v>434</v>
      </c>
      <c r="C795" s="147" t="s">
        <v>405</v>
      </c>
      <c r="D795" s="147" t="s">
        <v>1188</v>
      </c>
      <c r="E795" s="147" t="s">
        <v>489</v>
      </c>
      <c r="F795" s="155">
        <f>F796+F797</f>
        <v>0</v>
      </c>
      <c r="G795" s="155"/>
      <c r="H795" s="155">
        <f>H796+H797</f>
        <v>0</v>
      </c>
    </row>
    <row r="796" spans="1:8" ht="15">
      <c r="A796" s="157" t="s">
        <v>573</v>
      </c>
      <c r="B796" s="147" t="s">
        <v>434</v>
      </c>
      <c r="C796" s="147" t="s">
        <v>405</v>
      </c>
      <c r="D796" s="147" t="s">
        <v>1188</v>
      </c>
      <c r="E796" s="147" t="s">
        <v>574</v>
      </c>
      <c r="F796" s="158">
        <f>180-180</f>
        <v>0</v>
      </c>
      <c r="G796" s="155"/>
      <c r="H796" s="155">
        <f>F796</f>
        <v>0</v>
      </c>
    </row>
    <row r="797" spans="1:8" ht="15">
      <c r="A797" s="157" t="s">
        <v>158</v>
      </c>
      <c r="B797" s="147" t="s">
        <v>434</v>
      </c>
      <c r="C797" s="147" t="s">
        <v>405</v>
      </c>
      <c r="D797" s="147" t="s">
        <v>1188</v>
      </c>
      <c r="E797" s="147" t="s">
        <v>1126</v>
      </c>
      <c r="F797" s="158">
        <f>11190-11190</f>
        <v>0</v>
      </c>
      <c r="G797" s="155"/>
      <c r="H797" s="155">
        <f>F797</f>
        <v>0</v>
      </c>
    </row>
    <row r="798" spans="1:8" ht="36">
      <c r="A798" s="179" t="s">
        <v>1189</v>
      </c>
      <c r="B798" s="150" t="s">
        <v>434</v>
      </c>
      <c r="C798" s="150" t="s">
        <v>405</v>
      </c>
      <c r="D798" s="147" t="s">
        <v>1190</v>
      </c>
      <c r="E798" s="147"/>
      <c r="F798" s="279">
        <f>F799</f>
        <v>191134.5</v>
      </c>
      <c r="G798" s="155">
        <f>G799</f>
        <v>191134.5</v>
      </c>
      <c r="H798" s="155"/>
    </row>
    <row r="799" spans="1:8" ht="36">
      <c r="A799" s="152" t="s">
        <v>490</v>
      </c>
      <c r="B799" s="150" t="s">
        <v>434</v>
      </c>
      <c r="C799" s="150" t="s">
        <v>405</v>
      </c>
      <c r="D799" s="147" t="s">
        <v>1190</v>
      </c>
      <c r="E799" s="147" t="s">
        <v>489</v>
      </c>
      <c r="F799" s="155">
        <f>F800+F801</f>
        <v>191134.5</v>
      </c>
      <c r="G799" s="155">
        <f>F799-H799</f>
        <v>191134.5</v>
      </c>
      <c r="H799" s="161"/>
    </row>
    <row r="800" spans="1:8" ht="15">
      <c r="A800" s="157" t="s">
        <v>371</v>
      </c>
      <c r="B800" s="150" t="s">
        <v>434</v>
      </c>
      <c r="C800" s="150" t="s">
        <v>405</v>
      </c>
      <c r="D800" s="147" t="s">
        <v>1190</v>
      </c>
      <c r="E800" s="150" t="s">
        <v>574</v>
      </c>
      <c r="F800" s="158">
        <f>2603+1660+513-500</f>
        <v>4276</v>
      </c>
      <c r="G800" s="155">
        <f>F800-H800</f>
        <v>4276</v>
      </c>
      <c r="H800" s="161"/>
    </row>
    <row r="801" spans="1:8" ht="24">
      <c r="A801" s="157" t="s">
        <v>561</v>
      </c>
      <c r="B801" s="150" t="s">
        <v>434</v>
      </c>
      <c r="C801" s="150" t="s">
        <v>405</v>
      </c>
      <c r="D801" s="147" t="s">
        <v>1190</v>
      </c>
      <c r="E801" s="150" t="s">
        <v>1126</v>
      </c>
      <c r="F801" s="158">
        <f>144054-2700-180+298+1000+34199.5+670-370+10687-794-6</f>
        <v>186858.5</v>
      </c>
      <c r="G801" s="155">
        <f>F801-H801</f>
        <v>186858.5</v>
      </c>
      <c r="H801" s="161"/>
    </row>
    <row r="802" spans="1:8" ht="60">
      <c r="A802" s="157" t="s">
        <v>996</v>
      </c>
      <c r="B802" s="150" t="s">
        <v>434</v>
      </c>
      <c r="C802" s="150" t="s">
        <v>405</v>
      </c>
      <c r="D802" s="147" t="s">
        <v>1423</v>
      </c>
      <c r="E802" s="150"/>
      <c r="F802" s="279">
        <f>F803+F807+F813+F819</f>
        <v>125652.1</v>
      </c>
      <c r="G802" s="155">
        <f>F802-H802</f>
        <v>125652.1</v>
      </c>
      <c r="H802" s="161"/>
    </row>
    <row r="803" spans="1:8" ht="24">
      <c r="A803" s="312" t="s">
        <v>1562</v>
      </c>
      <c r="B803" s="150" t="s">
        <v>434</v>
      </c>
      <c r="C803" s="150" t="s">
        <v>405</v>
      </c>
      <c r="D803" s="147" t="s">
        <v>1563</v>
      </c>
      <c r="E803" s="150"/>
      <c r="F803" s="279">
        <f aca="true" t="shared" si="48" ref="F803:G805">F804</f>
        <v>94834.3</v>
      </c>
      <c r="G803" s="155">
        <f t="shared" si="48"/>
        <v>94834.3</v>
      </c>
      <c r="H803" s="161"/>
    </row>
    <row r="804" spans="1:8" ht="36">
      <c r="A804" s="152" t="s">
        <v>461</v>
      </c>
      <c r="B804" s="150" t="s">
        <v>434</v>
      </c>
      <c r="C804" s="150" t="s">
        <v>405</v>
      </c>
      <c r="D804" s="147" t="s">
        <v>1563</v>
      </c>
      <c r="E804" s="150" t="s">
        <v>1167</v>
      </c>
      <c r="F804" s="279">
        <f t="shared" si="48"/>
        <v>94834.3</v>
      </c>
      <c r="G804" s="155">
        <f t="shared" si="48"/>
        <v>94834.3</v>
      </c>
      <c r="H804" s="161"/>
    </row>
    <row r="805" spans="1:8" ht="60">
      <c r="A805" s="157" t="s">
        <v>444</v>
      </c>
      <c r="B805" s="150" t="s">
        <v>434</v>
      </c>
      <c r="C805" s="150" t="s">
        <v>405</v>
      </c>
      <c r="D805" s="147" t="s">
        <v>1563</v>
      </c>
      <c r="E805" s="150" t="s">
        <v>881</v>
      </c>
      <c r="F805" s="279">
        <f t="shared" si="48"/>
        <v>94834.3</v>
      </c>
      <c r="G805" s="155">
        <f t="shared" si="48"/>
        <v>94834.3</v>
      </c>
      <c r="H805" s="161"/>
    </row>
    <row r="806" spans="1:8" ht="36">
      <c r="A806" s="313" t="s">
        <v>1564</v>
      </c>
      <c r="B806" s="150" t="s">
        <v>434</v>
      </c>
      <c r="C806" s="150" t="s">
        <v>405</v>
      </c>
      <c r="D806" s="147" t="s">
        <v>1563</v>
      </c>
      <c r="E806" s="150" t="s">
        <v>881</v>
      </c>
      <c r="F806" s="158">
        <f>16453.44+78380.86</f>
        <v>94834.3</v>
      </c>
      <c r="G806" s="155">
        <f aca="true" t="shared" si="49" ref="G806:G811">F806</f>
        <v>94834.3</v>
      </c>
      <c r="H806" s="161"/>
    </row>
    <row r="807" spans="1:8" ht="36">
      <c r="A807" s="179" t="s">
        <v>1189</v>
      </c>
      <c r="B807" s="150" t="s">
        <v>434</v>
      </c>
      <c r="C807" s="150" t="s">
        <v>405</v>
      </c>
      <c r="D807" s="147" t="s">
        <v>1434</v>
      </c>
      <c r="E807" s="150"/>
      <c r="F807" s="279">
        <f>F808</f>
        <v>1700</v>
      </c>
      <c r="G807" s="155">
        <f t="shared" si="49"/>
        <v>1700</v>
      </c>
      <c r="H807" s="161"/>
    </row>
    <row r="808" spans="1:8" ht="36">
      <c r="A808" s="152" t="s">
        <v>490</v>
      </c>
      <c r="B808" s="150" t="s">
        <v>434</v>
      </c>
      <c r="C808" s="150" t="s">
        <v>405</v>
      </c>
      <c r="D808" s="147" t="s">
        <v>1434</v>
      </c>
      <c r="E808" s="150" t="s">
        <v>489</v>
      </c>
      <c r="F808" s="279">
        <f>F809</f>
        <v>1700</v>
      </c>
      <c r="G808" s="155">
        <f t="shared" si="49"/>
        <v>1700</v>
      </c>
      <c r="H808" s="161"/>
    </row>
    <row r="809" spans="1:8" ht="24">
      <c r="A809" s="157" t="s">
        <v>561</v>
      </c>
      <c r="B809" s="150" t="s">
        <v>434</v>
      </c>
      <c r="C809" s="150" t="s">
        <v>405</v>
      </c>
      <c r="D809" s="147" t="s">
        <v>1434</v>
      </c>
      <c r="E809" s="150" t="s">
        <v>1126</v>
      </c>
      <c r="F809" s="279">
        <f>F810+F811+F812</f>
        <v>1700</v>
      </c>
      <c r="G809" s="155">
        <f t="shared" si="49"/>
        <v>1700</v>
      </c>
      <c r="H809" s="161"/>
    </row>
    <row r="810" spans="1:8" ht="24">
      <c r="A810" s="315" t="s">
        <v>1737</v>
      </c>
      <c r="B810" s="150" t="s">
        <v>434</v>
      </c>
      <c r="C810" s="150" t="s">
        <v>405</v>
      </c>
      <c r="D810" s="147" t="s">
        <v>1434</v>
      </c>
      <c r="E810" s="150" t="s">
        <v>1126</v>
      </c>
      <c r="F810" s="158">
        <v>200</v>
      </c>
      <c r="G810" s="155">
        <f t="shared" si="49"/>
        <v>200</v>
      </c>
      <c r="H810" s="161"/>
    </row>
    <row r="811" spans="1:8" ht="24">
      <c r="A811" s="315" t="s">
        <v>1738</v>
      </c>
      <c r="B811" s="150" t="s">
        <v>434</v>
      </c>
      <c r="C811" s="150" t="s">
        <v>405</v>
      </c>
      <c r="D811" s="147" t="s">
        <v>1434</v>
      </c>
      <c r="E811" s="150" t="s">
        <v>1126</v>
      </c>
      <c r="F811" s="158">
        <v>1200</v>
      </c>
      <c r="G811" s="155">
        <f t="shared" si="49"/>
        <v>1200</v>
      </c>
      <c r="H811" s="161"/>
    </row>
    <row r="812" spans="1:8" ht="24">
      <c r="A812" s="315" t="s">
        <v>1739</v>
      </c>
      <c r="B812" s="150" t="s">
        <v>434</v>
      </c>
      <c r="C812" s="150" t="s">
        <v>405</v>
      </c>
      <c r="D812" s="147" t="s">
        <v>1434</v>
      </c>
      <c r="E812" s="150" t="s">
        <v>1126</v>
      </c>
      <c r="F812" s="158">
        <v>300</v>
      </c>
      <c r="G812" s="155">
        <f>F812</f>
        <v>300</v>
      </c>
      <c r="H812" s="161"/>
    </row>
    <row r="813" spans="1:8" ht="15">
      <c r="A813" s="157" t="s">
        <v>834</v>
      </c>
      <c r="B813" s="150" t="s">
        <v>434</v>
      </c>
      <c r="C813" s="150" t="s">
        <v>405</v>
      </c>
      <c r="D813" s="147" t="s">
        <v>1424</v>
      </c>
      <c r="E813" s="150"/>
      <c r="F813" s="279">
        <f>F814</f>
        <v>8684</v>
      </c>
      <c r="G813" s="155">
        <f aca="true" t="shared" si="50" ref="G813:G823">F813-H813</f>
        <v>8684</v>
      </c>
      <c r="H813" s="161"/>
    </row>
    <row r="814" spans="1:8" ht="36">
      <c r="A814" s="152" t="s">
        <v>461</v>
      </c>
      <c r="B814" s="150" t="s">
        <v>434</v>
      </c>
      <c r="C814" s="150" t="s">
        <v>405</v>
      </c>
      <c r="D814" s="147" t="s">
        <v>1424</v>
      </c>
      <c r="E814" s="150" t="s">
        <v>1167</v>
      </c>
      <c r="F814" s="279">
        <f>F815</f>
        <v>8684</v>
      </c>
      <c r="G814" s="155">
        <f t="shared" si="50"/>
        <v>8684</v>
      </c>
      <c r="H814" s="161"/>
    </row>
    <row r="815" spans="1:8" ht="60">
      <c r="A815" s="157" t="s">
        <v>444</v>
      </c>
      <c r="B815" s="150" t="s">
        <v>434</v>
      </c>
      <c r="C815" s="150" t="s">
        <v>405</v>
      </c>
      <c r="D815" s="147" t="s">
        <v>1424</v>
      </c>
      <c r="E815" s="150" t="s">
        <v>881</v>
      </c>
      <c r="F815" s="279">
        <f>F816+F817+F818</f>
        <v>8684</v>
      </c>
      <c r="G815" s="155">
        <f t="shared" si="50"/>
        <v>8684</v>
      </c>
      <c r="H815" s="161"/>
    </row>
    <row r="816" spans="1:8" ht="36">
      <c r="A816" s="157" t="s">
        <v>1374</v>
      </c>
      <c r="B816" s="150" t="s">
        <v>434</v>
      </c>
      <c r="C816" s="150" t="s">
        <v>405</v>
      </c>
      <c r="D816" s="147" t="s">
        <v>1424</v>
      </c>
      <c r="E816" s="150" t="s">
        <v>881</v>
      </c>
      <c r="F816" s="158">
        <f>9550-9550</f>
        <v>0</v>
      </c>
      <c r="G816" s="155">
        <f t="shared" si="50"/>
        <v>0</v>
      </c>
      <c r="H816" s="161"/>
    </row>
    <row r="817" spans="1:8" ht="36">
      <c r="A817" s="157" t="s">
        <v>1564</v>
      </c>
      <c r="B817" s="150" t="s">
        <v>434</v>
      </c>
      <c r="C817" s="150" t="s">
        <v>405</v>
      </c>
      <c r="D817" s="147" t="s">
        <v>1424</v>
      </c>
      <c r="E817" s="150" t="s">
        <v>881</v>
      </c>
      <c r="F817" s="158">
        <f>866+19567.8-20433.8</f>
        <v>0</v>
      </c>
      <c r="G817" s="155">
        <f t="shared" si="50"/>
        <v>0</v>
      </c>
      <c r="H817" s="161"/>
    </row>
    <row r="818" spans="1:8" ht="48">
      <c r="A818" s="157" t="s">
        <v>1565</v>
      </c>
      <c r="B818" s="150" t="s">
        <v>434</v>
      </c>
      <c r="C818" s="150" t="s">
        <v>405</v>
      </c>
      <c r="D818" s="147" t="s">
        <v>1424</v>
      </c>
      <c r="E818" s="150" t="s">
        <v>881</v>
      </c>
      <c r="F818" s="158">
        <v>8684</v>
      </c>
      <c r="G818" s="155">
        <f t="shared" si="50"/>
        <v>8684</v>
      </c>
      <c r="H818" s="161"/>
    </row>
    <row r="819" spans="1:8" ht="24">
      <c r="A819" s="157" t="s">
        <v>1808</v>
      </c>
      <c r="B819" s="150" t="s">
        <v>434</v>
      </c>
      <c r="C819" s="150" t="s">
        <v>405</v>
      </c>
      <c r="D819" s="147" t="s">
        <v>1807</v>
      </c>
      <c r="E819" s="150"/>
      <c r="F819" s="325">
        <f>F820</f>
        <v>20433.8</v>
      </c>
      <c r="G819" s="155">
        <f t="shared" si="50"/>
        <v>20433.8</v>
      </c>
      <c r="H819" s="161"/>
    </row>
    <row r="820" spans="1:8" ht="36">
      <c r="A820" s="152" t="s">
        <v>461</v>
      </c>
      <c r="B820" s="150" t="s">
        <v>434</v>
      </c>
      <c r="C820" s="150" t="s">
        <v>405</v>
      </c>
      <c r="D820" s="147" t="s">
        <v>1807</v>
      </c>
      <c r="E820" s="150" t="s">
        <v>1167</v>
      </c>
      <c r="F820" s="325">
        <f>F821</f>
        <v>20433.8</v>
      </c>
      <c r="G820" s="155">
        <f t="shared" si="50"/>
        <v>20433.8</v>
      </c>
      <c r="H820" s="161"/>
    </row>
    <row r="821" spans="1:8" ht="60">
      <c r="A821" s="157" t="s">
        <v>444</v>
      </c>
      <c r="B821" s="150" t="s">
        <v>434</v>
      </c>
      <c r="C821" s="150" t="s">
        <v>405</v>
      </c>
      <c r="D821" s="147" t="s">
        <v>1807</v>
      </c>
      <c r="E821" s="150" t="s">
        <v>881</v>
      </c>
      <c r="F821" s="325">
        <f>F822</f>
        <v>20433.8</v>
      </c>
      <c r="G821" s="155">
        <f t="shared" si="50"/>
        <v>20433.8</v>
      </c>
      <c r="H821" s="161"/>
    </row>
    <row r="822" spans="1:8" ht="36">
      <c r="A822" s="157" t="s">
        <v>1564</v>
      </c>
      <c r="B822" s="150" t="s">
        <v>434</v>
      </c>
      <c r="C822" s="150" t="s">
        <v>405</v>
      </c>
      <c r="D822" s="147" t="s">
        <v>1807</v>
      </c>
      <c r="E822" s="150" t="s">
        <v>881</v>
      </c>
      <c r="F822" s="158">
        <v>20433.8</v>
      </c>
      <c r="G822" s="155">
        <f t="shared" si="50"/>
        <v>20433.8</v>
      </c>
      <c r="H822" s="161"/>
    </row>
    <row r="823" spans="1:8" ht="36">
      <c r="A823" s="157" t="s">
        <v>667</v>
      </c>
      <c r="B823" s="150" t="s">
        <v>434</v>
      </c>
      <c r="C823" s="150" t="s">
        <v>405</v>
      </c>
      <c r="D823" s="147" t="s">
        <v>668</v>
      </c>
      <c r="E823" s="150"/>
      <c r="F823" s="279">
        <f>F824+F834+F828+F831+F849+F853</f>
        <v>146675.1</v>
      </c>
      <c r="G823" s="155">
        <f t="shared" si="50"/>
        <v>146675.1</v>
      </c>
      <c r="H823" s="161"/>
    </row>
    <row r="824" spans="1:8" ht="84">
      <c r="A824" s="312" t="s">
        <v>1740</v>
      </c>
      <c r="B824" s="150" t="s">
        <v>434</v>
      </c>
      <c r="C824" s="150" t="s">
        <v>405</v>
      </c>
      <c r="D824" s="147" t="s">
        <v>1773</v>
      </c>
      <c r="E824" s="147"/>
      <c r="F824" s="279">
        <f>F825</f>
        <v>1000</v>
      </c>
      <c r="G824" s="151">
        <f>G825</f>
        <v>1000</v>
      </c>
      <c r="H824" s="155"/>
    </row>
    <row r="825" spans="1:8" ht="36">
      <c r="A825" s="152" t="s">
        <v>490</v>
      </c>
      <c r="B825" s="150" t="s">
        <v>434</v>
      </c>
      <c r="C825" s="150" t="s">
        <v>405</v>
      </c>
      <c r="D825" s="147" t="s">
        <v>1773</v>
      </c>
      <c r="E825" s="147" t="s">
        <v>489</v>
      </c>
      <c r="F825" s="279">
        <f>F826</f>
        <v>1000</v>
      </c>
      <c r="G825" s="151">
        <f>G826</f>
        <v>1000</v>
      </c>
      <c r="H825" s="155"/>
    </row>
    <row r="826" spans="1:8" ht="24">
      <c r="A826" s="157" t="s">
        <v>561</v>
      </c>
      <c r="B826" s="150" t="s">
        <v>434</v>
      </c>
      <c r="C826" s="150" t="s">
        <v>405</v>
      </c>
      <c r="D826" s="147" t="s">
        <v>1773</v>
      </c>
      <c r="E826" s="147" t="s">
        <v>1126</v>
      </c>
      <c r="F826" s="155">
        <f>F827</f>
        <v>1000</v>
      </c>
      <c r="G826" s="155">
        <f>F826-H826</f>
        <v>1000</v>
      </c>
      <c r="H826" s="155"/>
    </row>
    <row r="827" spans="1:8" ht="72">
      <c r="A827" s="322" t="s">
        <v>1741</v>
      </c>
      <c r="B827" s="150" t="s">
        <v>434</v>
      </c>
      <c r="C827" s="150" t="s">
        <v>405</v>
      </c>
      <c r="D827" s="147" t="s">
        <v>1773</v>
      </c>
      <c r="E827" s="147" t="s">
        <v>1126</v>
      </c>
      <c r="F827" s="158">
        <v>1000</v>
      </c>
      <c r="G827" s="155">
        <f>F827-H827</f>
        <v>1000</v>
      </c>
      <c r="H827" s="155"/>
    </row>
    <row r="828" spans="1:8" ht="48">
      <c r="A828" s="327" t="s">
        <v>1261</v>
      </c>
      <c r="B828" s="150" t="s">
        <v>434</v>
      </c>
      <c r="C828" s="150" t="s">
        <v>405</v>
      </c>
      <c r="D828" s="147" t="s">
        <v>1262</v>
      </c>
      <c r="E828" s="147"/>
      <c r="F828" s="325">
        <f>F829</f>
        <v>18332</v>
      </c>
      <c r="G828" s="155">
        <f>G829</f>
        <v>18332</v>
      </c>
      <c r="H828" s="155"/>
    </row>
    <row r="829" spans="1:8" ht="24">
      <c r="A829" s="153" t="s">
        <v>974</v>
      </c>
      <c r="B829" s="150" t="s">
        <v>434</v>
      </c>
      <c r="C829" s="150" t="s">
        <v>405</v>
      </c>
      <c r="D829" s="147" t="s">
        <v>1262</v>
      </c>
      <c r="E829" s="147" t="s">
        <v>529</v>
      </c>
      <c r="F829" s="325">
        <f>F830</f>
        <v>18332</v>
      </c>
      <c r="G829" s="155">
        <f>G830</f>
        <v>18332</v>
      </c>
      <c r="H829" s="155"/>
    </row>
    <row r="830" spans="1:8" ht="24">
      <c r="A830" s="153" t="s">
        <v>931</v>
      </c>
      <c r="B830" s="150" t="s">
        <v>434</v>
      </c>
      <c r="C830" s="150" t="s">
        <v>405</v>
      </c>
      <c r="D830" s="147" t="s">
        <v>1262</v>
      </c>
      <c r="E830" s="147" t="s">
        <v>429</v>
      </c>
      <c r="F830" s="158">
        <f>18332</f>
        <v>18332</v>
      </c>
      <c r="G830" s="155">
        <f>F830</f>
        <v>18332</v>
      </c>
      <c r="H830" s="155"/>
    </row>
    <row r="831" spans="1:8" ht="48">
      <c r="A831" s="327" t="s">
        <v>1774</v>
      </c>
      <c r="B831" s="150" t="s">
        <v>808</v>
      </c>
      <c r="C831" s="150" t="s">
        <v>405</v>
      </c>
      <c r="D831" s="147" t="s">
        <v>1797</v>
      </c>
      <c r="E831" s="147"/>
      <c r="F831" s="325">
        <f>F832</f>
        <v>10492</v>
      </c>
      <c r="G831" s="155">
        <f>G832</f>
        <v>10492</v>
      </c>
      <c r="H831" s="155"/>
    </row>
    <row r="832" spans="1:8" ht="24">
      <c r="A832" s="153" t="s">
        <v>974</v>
      </c>
      <c r="B832" s="150" t="s">
        <v>808</v>
      </c>
      <c r="C832" s="150" t="s">
        <v>405</v>
      </c>
      <c r="D832" s="147" t="s">
        <v>1797</v>
      </c>
      <c r="E832" s="147" t="s">
        <v>529</v>
      </c>
      <c r="F832" s="325">
        <f>F833</f>
        <v>10492</v>
      </c>
      <c r="G832" s="155">
        <f>G833</f>
        <v>10492</v>
      </c>
      <c r="H832" s="155"/>
    </row>
    <row r="833" spans="1:8" ht="24">
      <c r="A833" s="153" t="s">
        <v>931</v>
      </c>
      <c r="B833" s="150" t="s">
        <v>808</v>
      </c>
      <c r="C833" s="150" t="s">
        <v>405</v>
      </c>
      <c r="D833" s="147" t="s">
        <v>1797</v>
      </c>
      <c r="E833" s="147" t="s">
        <v>429</v>
      </c>
      <c r="F833" s="158">
        <v>10492</v>
      </c>
      <c r="G833" s="155">
        <f>F833</f>
        <v>10492</v>
      </c>
      <c r="H833" s="155"/>
    </row>
    <row r="834" spans="1:8" ht="36">
      <c r="A834" s="179" t="s">
        <v>1189</v>
      </c>
      <c r="B834" s="150" t="s">
        <v>434</v>
      </c>
      <c r="C834" s="150" t="s">
        <v>405</v>
      </c>
      <c r="D834" s="147" t="s">
        <v>669</v>
      </c>
      <c r="E834" s="150"/>
      <c r="F834" s="279">
        <f>F835</f>
        <v>16801.1</v>
      </c>
      <c r="G834" s="155">
        <f>F834-H834</f>
        <v>16801.1</v>
      </c>
      <c r="H834" s="161"/>
    </row>
    <row r="835" spans="1:8" ht="36">
      <c r="A835" s="152" t="s">
        <v>490</v>
      </c>
      <c r="B835" s="150" t="s">
        <v>434</v>
      </c>
      <c r="C835" s="150" t="s">
        <v>405</v>
      </c>
      <c r="D835" s="147" t="s">
        <v>669</v>
      </c>
      <c r="E835" s="150" t="s">
        <v>489</v>
      </c>
      <c r="F835" s="279">
        <f>F836</f>
        <v>16801.1</v>
      </c>
      <c r="G835" s="155">
        <f>F835-H835</f>
        <v>16801.1</v>
      </c>
      <c r="H835" s="161"/>
    </row>
    <row r="836" spans="1:8" ht="15">
      <c r="A836" s="157" t="s">
        <v>1125</v>
      </c>
      <c r="B836" s="150" t="s">
        <v>434</v>
      </c>
      <c r="C836" s="150" t="s">
        <v>405</v>
      </c>
      <c r="D836" s="147" t="s">
        <v>669</v>
      </c>
      <c r="E836" s="150" t="s">
        <v>1126</v>
      </c>
      <c r="F836" s="279">
        <f>F837+F838+F839+F840+F841+F842+F843+F844+F845+F846+F847+F848</f>
        <v>16801.1</v>
      </c>
      <c r="G836" s="155">
        <f>F836-H836</f>
        <v>16801.1</v>
      </c>
      <c r="H836" s="161"/>
    </row>
    <row r="837" spans="1:8" ht="60">
      <c r="A837" s="157" t="s">
        <v>1566</v>
      </c>
      <c r="B837" s="150" t="s">
        <v>434</v>
      </c>
      <c r="C837" s="150" t="s">
        <v>405</v>
      </c>
      <c r="D837" s="147" t="s">
        <v>669</v>
      </c>
      <c r="E837" s="150" t="s">
        <v>1126</v>
      </c>
      <c r="F837" s="158">
        <f>300-300</f>
        <v>0</v>
      </c>
      <c r="G837" s="155">
        <f>F837-H837</f>
        <v>0</v>
      </c>
      <c r="H837" s="161"/>
    </row>
    <row r="838" spans="1:8" ht="24">
      <c r="A838" s="157" t="s">
        <v>1567</v>
      </c>
      <c r="B838" s="150" t="s">
        <v>434</v>
      </c>
      <c r="C838" s="150" t="s">
        <v>405</v>
      </c>
      <c r="D838" s="147" t="s">
        <v>669</v>
      </c>
      <c r="E838" s="150" t="s">
        <v>1126</v>
      </c>
      <c r="F838" s="158">
        <v>180</v>
      </c>
      <c r="G838" s="155">
        <f>F838-H838</f>
        <v>180</v>
      </c>
      <c r="H838" s="161"/>
    </row>
    <row r="839" spans="1:8" ht="48">
      <c r="A839" s="157" t="s">
        <v>1611</v>
      </c>
      <c r="B839" s="150" t="s">
        <v>434</v>
      </c>
      <c r="C839" s="150" t="s">
        <v>405</v>
      </c>
      <c r="D839" s="147" t="s">
        <v>669</v>
      </c>
      <c r="E839" s="150" t="s">
        <v>1126</v>
      </c>
      <c r="F839" s="158">
        <v>1150</v>
      </c>
      <c r="G839" s="155">
        <f aca="true" t="shared" si="51" ref="G839:G845">F839</f>
        <v>1150</v>
      </c>
      <c r="H839" s="161"/>
    </row>
    <row r="840" spans="1:8" ht="60">
      <c r="A840" s="157" t="s">
        <v>1676</v>
      </c>
      <c r="B840" s="150" t="s">
        <v>434</v>
      </c>
      <c r="C840" s="150" t="s">
        <v>405</v>
      </c>
      <c r="D840" s="147" t="s">
        <v>669</v>
      </c>
      <c r="E840" s="150" t="s">
        <v>1126</v>
      </c>
      <c r="F840" s="158">
        <f>4000</f>
        <v>4000</v>
      </c>
      <c r="G840" s="155">
        <f t="shared" si="51"/>
        <v>4000</v>
      </c>
      <c r="H840" s="161"/>
    </row>
    <row r="841" spans="1:8" ht="24">
      <c r="A841" s="157" t="s">
        <v>1612</v>
      </c>
      <c r="B841" s="150" t="s">
        <v>434</v>
      </c>
      <c r="C841" s="150" t="s">
        <v>405</v>
      </c>
      <c r="D841" s="147" t="s">
        <v>669</v>
      </c>
      <c r="E841" s="150" t="s">
        <v>1126</v>
      </c>
      <c r="F841" s="158">
        <v>30</v>
      </c>
      <c r="G841" s="155">
        <f t="shared" si="51"/>
        <v>30</v>
      </c>
      <c r="H841" s="161"/>
    </row>
    <row r="842" spans="1:8" ht="36">
      <c r="A842" s="157" t="s">
        <v>1677</v>
      </c>
      <c r="B842" s="150" t="s">
        <v>434</v>
      </c>
      <c r="C842" s="150" t="s">
        <v>405</v>
      </c>
      <c r="D842" s="147" t="s">
        <v>669</v>
      </c>
      <c r="E842" s="150" t="s">
        <v>1126</v>
      </c>
      <c r="F842" s="158">
        <v>195</v>
      </c>
      <c r="G842" s="155">
        <f t="shared" si="51"/>
        <v>195</v>
      </c>
      <c r="H842" s="161"/>
    </row>
    <row r="843" spans="1:8" ht="48">
      <c r="A843" s="157" t="s">
        <v>1678</v>
      </c>
      <c r="B843" s="150" t="s">
        <v>434</v>
      </c>
      <c r="C843" s="150" t="s">
        <v>405</v>
      </c>
      <c r="D843" s="147" t="s">
        <v>669</v>
      </c>
      <c r="E843" s="150" t="s">
        <v>1126</v>
      </c>
      <c r="F843" s="158">
        <v>10794.1</v>
      </c>
      <c r="G843" s="155">
        <f t="shared" si="51"/>
        <v>10794.1</v>
      </c>
      <c r="H843" s="161"/>
    </row>
    <row r="844" spans="1:8" ht="72">
      <c r="A844" s="157" t="s">
        <v>1679</v>
      </c>
      <c r="B844" s="150" t="s">
        <v>434</v>
      </c>
      <c r="C844" s="150" t="s">
        <v>405</v>
      </c>
      <c r="D844" s="147" t="s">
        <v>669</v>
      </c>
      <c r="E844" s="150" t="s">
        <v>1126</v>
      </c>
      <c r="F844" s="158">
        <f>50-50</f>
        <v>0</v>
      </c>
      <c r="G844" s="155">
        <f t="shared" si="51"/>
        <v>0</v>
      </c>
      <c r="H844" s="161"/>
    </row>
    <row r="845" spans="1:8" ht="36">
      <c r="A845" s="157" t="s">
        <v>1680</v>
      </c>
      <c r="B845" s="150" t="s">
        <v>434</v>
      </c>
      <c r="C845" s="150" t="s">
        <v>405</v>
      </c>
      <c r="D845" s="147" t="s">
        <v>669</v>
      </c>
      <c r="E845" s="150" t="s">
        <v>1126</v>
      </c>
      <c r="F845" s="158">
        <v>15</v>
      </c>
      <c r="G845" s="155">
        <f t="shared" si="51"/>
        <v>15</v>
      </c>
      <c r="H845" s="161"/>
    </row>
    <row r="846" spans="1:8" ht="36">
      <c r="A846" s="157" t="s">
        <v>1742</v>
      </c>
      <c r="B846" s="150" t="s">
        <v>434</v>
      </c>
      <c r="C846" s="150" t="s">
        <v>405</v>
      </c>
      <c r="D846" s="147" t="s">
        <v>669</v>
      </c>
      <c r="E846" s="150" t="s">
        <v>1126</v>
      </c>
      <c r="F846" s="158">
        <v>370</v>
      </c>
      <c r="G846" s="155">
        <f aca="true" t="shared" si="52" ref="G846:G855">F846</f>
        <v>370</v>
      </c>
      <c r="H846" s="161"/>
    </row>
    <row r="847" spans="1:8" ht="24">
      <c r="A847" s="157" t="s">
        <v>1743</v>
      </c>
      <c r="B847" s="150" t="s">
        <v>434</v>
      </c>
      <c r="C847" s="150" t="s">
        <v>405</v>
      </c>
      <c r="D847" s="147" t="s">
        <v>669</v>
      </c>
      <c r="E847" s="150" t="s">
        <v>1126</v>
      </c>
      <c r="F847" s="158">
        <v>23</v>
      </c>
      <c r="G847" s="155">
        <f t="shared" si="52"/>
        <v>23</v>
      </c>
      <c r="H847" s="161"/>
    </row>
    <row r="848" spans="1:8" ht="24">
      <c r="A848" s="157" t="s">
        <v>1744</v>
      </c>
      <c r="B848" s="150" t="s">
        <v>434</v>
      </c>
      <c r="C848" s="150" t="s">
        <v>405</v>
      </c>
      <c r="D848" s="147" t="s">
        <v>669</v>
      </c>
      <c r="E848" s="150" t="s">
        <v>1126</v>
      </c>
      <c r="F848" s="158">
        <v>44</v>
      </c>
      <c r="G848" s="155">
        <f>F848</f>
        <v>44</v>
      </c>
      <c r="H848" s="161"/>
    </row>
    <row r="849" spans="1:8" ht="60">
      <c r="A849" s="157" t="s">
        <v>1806</v>
      </c>
      <c r="B849" s="150" t="s">
        <v>434</v>
      </c>
      <c r="C849" s="150" t="s">
        <v>405</v>
      </c>
      <c r="D849" s="147" t="s">
        <v>1805</v>
      </c>
      <c r="E849" s="150"/>
      <c r="F849" s="325">
        <f>F850</f>
        <v>50</v>
      </c>
      <c r="G849" s="325">
        <f>F849</f>
        <v>50</v>
      </c>
      <c r="H849" s="161"/>
    </row>
    <row r="850" spans="1:8" ht="36">
      <c r="A850" s="152" t="s">
        <v>490</v>
      </c>
      <c r="B850" s="150" t="s">
        <v>434</v>
      </c>
      <c r="C850" s="150" t="s">
        <v>405</v>
      </c>
      <c r="D850" s="147" t="s">
        <v>1805</v>
      </c>
      <c r="E850" s="150" t="s">
        <v>489</v>
      </c>
      <c r="F850" s="325">
        <f>F851</f>
        <v>50</v>
      </c>
      <c r="G850" s="155">
        <f>F850</f>
        <v>50</v>
      </c>
      <c r="H850" s="161"/>
    </row>
    <row r="851" spans="1:8" ht="15">
      <c r="A851" s="157" t="s">
        <v>1125</v>
      </c>
      <c r="B851" s="150" t="s">
        <v>434</v>
      </c>
      <c r="C851" s="150" t="s">
        <v>405</v>
      </c>
      <c r="D851" s="147" t="s">
        <v>1805</v>
      </c>
      <c r="E851" s="150" t="s">
        <v>1126</v>
      </c>
      <c r="F851" s="325">
        <f>F852</f>
        <v>50</v>
      </c>
      <c r="G851" s="155">
        <f>F851</f>
        <v>50</v>
      </c>
      <c r="H851" s="161"/>
    </row>
    <row r="852" spans="1:8" ht="72">
      <c r="A852" s="157" t="s">
        <v>1679</v>
      </c>
      <c r="B852" s="150" t="s">
        <v>434</v>
      </c>
      <c r="C852" s="150" t="s">
        <v>405</v>
      </c>
      <c r="D852" s="147" t="s">
        <v>1805</v>
      </c>
      <c r="E852" s="150" t="s">
        <v>1126</v>
      </c>
      <c r="F852" s="158">
        <v>50</v>
      </c>
      <c r="G852" s="155">
        <f>F852</f>
        <v>50</v>
      </c>
      <c r="H852" s="161"/>
    </row>
    <row r="853" spans="1:8" ht="36">
      <c r="A853" s="115" t="s">
        <v>1796</v>
      </c>
      <c r="B853" s="150" t="s">
        <v>434</v>
      </c>
      <c r="C853" s="150" t="s">
        <v>405</v>
      </c>
      <c r="D853" s="147" t="s">
        <v>1795</v>
      </c>
      <c r="E853" s="150"/>
      <c r="F853" s="325">
        <f>F854</f>
        <v>100000</v>
      </c>
      <c r="G853" s="155">
        <f t="shared" si="52"/>
        <v>100000</v>
      </c>
      <c r="H853" s="161"/>
    </row>
    <row r="854" spans="1:8" ht="36">
      <c r="A854" s="153" t="s">
        <v>461</v>
      </c>
      <c r="B854" s="150" t="s">
        <v>434</v>
      </c>
      <c r="C854" s="150" t="s">
        <v>405</v>
      </c>
      <c r="D854" s="147" t="s">
        <v>1795</v>
      </c>
      <c r="E854" s="150" t="s">
        <v>1167</v>
      </c>
      <c r="F854" s="325">
        <f>F855</f>
        <v>100000</v>
      </c>
      <c r="G854" s="155">
        <f t="shared" si="52"/>
        <v>100000</v>
      </c>
      <c r="H854" s="161"/>
    </row>
    <row r="855" spans="1:8" ht="15">
      <c r="A855" s="153" t="s">
        <v>1083</v>
      </c>
      <c r="B855" s="150" t="s">
        <v>434</v>
      </c>
      <c r="C855" s="150" t="s">
        <v>405</v>
      </c>
      <c r="D855" s="147" t="s">
        <v>1795</v>
      </c>
      <c r="E855" s="150" t="s">
        <v>825</v>
      </c>
      <c r="F855" s="158">
        <v>100000</v>
      </c>
      <c r="G855" s="155">
        <f t="shared" si="52"/>
        <v>100000</v>
      </c>
      <c r="H855" s="161"/>
    </row>
    <row r="856" spans="1:8" ht="48">
      <c r="A856" s="157" t="s">
        <v>1425</v>
      </c>
      <c r="B856" s="150" t="s">
        <v>434</v>
      </c>
      <c r="C856" s="150" t="s">
        <v>405</v>
      </c>
      <c r="D856" s="147" t="s">
        <v>670</v>
      </c>
      <c r="E856" s="150"/>
      <c r="F856" s="155">
        <f>F857+F860</f>
        <v>15981</v>
      </c>
      <c r="G856" s="155">
        <f>G857+G860</f>
        <v>15981</v>
      </c>
      <c r="H856" s="155">
        <f>H857+H860</f>
        <v>0</v>
      </c>
    </row>
    <row r="857" spans="1:8" ht="84">
      <c r="A857" s="157" t="s">
        <v>188</v>
      </c>
      <c r="B857" s="147" t="s">
        <v>434</v>
      </c>
      <c r="C857" s="147" t="s">
        <v>405</v>
      </c>
      <c r="D857" s="147" t="s">
        <v>1426</v>
      </c>
      <c r="E857" s="147"/>
      <c r="F857" s="155">
        <f>F858</f>
        <v>0</v>
      </c>
      <c r="G857" s="155"/>
      <c r="H857" s="155">
        <f>H858</f>
        <v>0</v>
      </c>
    </row>
    <row r="858" spans="1:8" ht="36">
      <c r="A858" s="152" t="s">
        <v>490</v>
      </c>
      <c r="B858" s="147" t="s">
        <v>434</v>
      </c>
      <c r="C858" s="147" t="s">
        <v>405</v>
      </c>
      <c r="D858" s="147" t="s">
        <v>1426</v>
      </c>
      <c r="E858" s="147" t="s">
        <v>489</v>
      </c>
      <c r="F858" s="155">
        <f>F859</f>
        <v>0</v>
      </c>
      <c r="G858" s="155"/>
      <c r="H858" s="155">
        <f>H859</f>
        <v>0</v>
      </c>
    </row>
    <row r="859" spans="1:8" ht="15">
      <c r="A859" s="157" t="s">
        <v>573</v>
      </c>
      <c r="B859" s="147" t="s">
        <v>434</v>
      </c>
      <c r="C859" s="147" t="s">
        <v>405</v>
      </c>
      <c r="D859" s="147" t="s">
        <v>1426</v>
      </c>
      <c r="E859" s="147" t="s">
        <v>574</v>
      </c>
      <c r="F859" s="158">
        <f>3032-976-1866-190</f>
        <v>0</v>
      </c>
      <c r="G859" s="155"/>
      <c r="H859" s="155">
        <f>F859</f>
        <v>0</v>
      </c>
    </row>
    <row r="860" spans="1:8" ht="48">
      <c r="A860" s="157" t="s">
        <v>1318</v>
      </c>
      <c r="B860" s="150" t="s">
        <v>434</v>
      </c>
      <c r="C860" s="150" t="s">
        <v>405</v>
      </c>
      <c r="D860" s="147" t="s">
        <v>1427</v>
      </c>
      <c r="E860" s="150"/>
      <c r="F860" s="155">
        <f>F861</f>
        <v>15981</v>
      </c>
      <c r="G860" s="155">
        <f>F860</f>
        <v>15981</v>
      </c>
      <c r="H860" s="155"/>
    </row>
    <row r="861" spans="1:8" ht="36">
      <c r="A861" s="152" t="s">
        <v>490</v>
      </c>
      <c r="B861" s="150" t="s">
        <v>434</v>
      </c>
      <c r="C861" s="150" t="s">
        <v>405</v>
      </c>
      <c r="D861" s="147" t="s">
        <v>1427</v>
      </c>
      <c r="E861" s="150" t="s">
        <v>489</v>
      </c>
      <c r="F861" s="155">
        <f>F862</f>
        <v>15981</v>
      </c>
      <c r="G861" s="155">
        <f>F861</f>
        <v>15981</v>
      </c>
      <c r="H861" s="155"/>
    </row>
    <row r="862" spans="1:8" ht="15">
      <c r="A862" s="157" t="s">
        <v>371</v>
      </c>
      <c r="B862" s="150" t="s">
        <v>434</v>
      </c>
      <c r="C862" s="150" t="s">
        <v>405</v>
      </c>
      <c r="D862" s="147" t="s">
        <v>1427</v>
      </c>
      <c r="E862" s="150" t="s">
        <v>574</v>
      </c>
      <c r="F862" s="158">
        <f>13466+2615-1000+1300-400</f>
        <v>15981</v>
      </c>
      <c r="G862" s="158">
        <f>F862</f>
        <v>15981</v>
      </c>
      <c r="H862" s="155"/>
    </row>
    <row r="863" spans="1:8" ht="36">
      <c r="A863" s="152" t="s">
        <v>1745</v>
      </c>
      <c r="B863" s="147" t="s">
        <v>434</v>
      </c>
      <c r="C863" s="147" t="s">
        <v>405</v>
      </c>
      <c r="D863" s="147" t="s">
        <v>643</v>
      </c>
      <c r="E863" s="147"/>
      <c r="F863" s="155">
        <f>F864+F869+F873</f>
        <v>250</v>
      </c>
      <c r="G863" s="155">
        <f>G864+G869+G873</f>
        <v>250</v>
      </c>
      <c r="H863" s="155">
        <f>H864+H869+H873</f>
        <v>0</v>
      </c>
    </row>
    <row r="864" spans="1:8" ht="84">
      <c r="A864" s="157" t="s">
        <v>540</v>
      </c>
      <c r="B864" s="147" t="s">
        <v>434</v>
      </c>
      <c r="C864" s="147" t="s">
        <v>405</v>
      </c>
      <c r="D864" s="147" t="s">
        <v>642</v>
      </c>
      <c r="E864" s="147"/>
      <c r="F864" s="155">
        <f>F865</f>
        <v>0</v>
      </c>
      <c r="G864" s="155">
        <f>G865</f>
        <v>0</v>
      </c>
      <c r="H864" s="158"/>
    </row>
    <row r="865" spans="1:8" ht="36">
      <c r="A865" s="157" t="s">
        <v>641</v>
      </c>
      <c r="B865" s="147" t="s">
        <v>434</v>
      </c>
      <c r="C865" s="147" t="s">
        <v>405</v>
      </c>
      <c r="D865" s="147" t="s">
        <v>644</v>
      </c>
      <c r="E865" s="147"/>
      <c r="F865" s="155">
        <f>F866</f>
        <v>0</v>
      </c>
      <c r="G865" s="155">
        <f>F865</f>
        <v>0</v>
      </c>
      <c r="H865" s="158"/>
    </row>
    <row r="866" spans="1:8" ht="36">
      <c r="A866" s="152" t="s">
        <v>490</v>
      </c>
      <c r="B866" s="150" t="s">
        <v>434</v>
      </c>
      <c r="C866" s="150" t="s">
        <v>405</v>
      </c>
      <c r="D866" s="147" t="s">
        <v>644</v>
      </c>
      <c r="E866" s="150" t="s">
        <v>489</v>
      </c>
      <c r="F866" s="155">
        <f>F867+F868</f>
        <v>0</v>
      </c>
      <c r="G866" s="155">
        <f>F866-H866</f>
        <v>0</v>
      </c>
      <c r="H866" s="161"/>
    </row>
    <row r="867" spans="1:8" ht="15">
      <c r="A867" s="157" t="s">
        <v>371</v>
      </c>
      <c r="B867" s="150" t="s">
        <v>434</v>
      </c>
      <c r="C867" s="150" t="s">
        <v>405</v>
      </c>
      <c r="D867" s="147" t="s">
        <v>644</v>
      </c>
      <c r="E867" s="150" t="s">
        <v>574</v>
      </c>
      <c r="F867" s="158">
        <f>87460+164591+1000-165591-87431-29</f>
        <v>0</v>
      </c>
      <c r="G867" s="158">
        <f>F867-H867</f>
        <v>0</v>
      </c>
      <c r="H867" s="161"/>
    </row>
    <row r="868" spans="1:8" ht="15">
      <c r="A868" s="157" t="s">
        <v>1125</v>
      </c>
      <c r="B868" s="150" t="s">
        <v>434</v>
      </c>
      <c r="C868" s="150" t="s">
        <v>405</v>
      </c>
      <c r="D868" s="147" t="s">
        <v>644</v>
      </c>
      <c r="E868" s="150" t="s">
        <v>1126</v>
      </c>
      <c r="F868" s="158">
        <f>28572-28572</f>
        <v>0</v>
      </c>
      <c r="G868" s="155">
        <f>F868-H868</f>
        <v>0</v>
      </c>
      <c r="H868" s="161"/>
    </row>
    <row r="869" spans="1:8" ht="36">
      <c r="A869" s="157" t="s">
        <v>645</v>
      </c>
      <c r="B869" s="150" t="s">
        <v>434</v>
      </c>
      <c r="C869" s="150" t="s">
        <v>405</v>
      </c>
      <c r="D869" s="147" t="s">
        <v>1428</v>
      </c>
      <c r="E869" s="150"/>
      <c r="F869" s="155">
        <f>F870</f>
        <v>0</v>
      </c>
      <c r="G869" s="155">
        <f>G870</f>
        <v>0</v>
      </c>
      <c r="H869" s="161"/>
    </row>
    <row r="870" spans="1:8" ht="48">
      <c r="A870" s="157" t="s">
        <v>646</v>
      </c>
      <c r="B870" s="150" t="s">
        <v>434</v>
      </c>
      <c r="C870" s="150" t="s">
        <v>405</v>
      </c>
      <c r="D870" s="147" t="s">
        <v>1429</v>
      </c>
      <c r="E870" s="150"/>
      <c r="F870" s="155">
        <f>F871</f>
        <v>0</v>
      </c>
      <c r="G870" s="155">
        <f>G871</f>
        <v>0</v>
      </c>
      <c r="H870" s="161"/>
    </row>
    <row r="871" spans="1:8" ht="36">
      <c r="A871" s="152" t="s">
        <v>490</v>
      </c>
      <c r="B871" s="150" t="s">
        <v>434</v>
      </c>
      <c r="C871" s="150" t="s">
        <v>405</v>
      </c>
      <c r="D871" s="147" t="s">
        <v>1429</v>
      </c>
      <c r="E871" s="150" t="s">
        <v>489</v>
      </c>
      <c r="F871" s="155">
        <f>F872</f>
        <v>0</v>
      </c>
      <c r="G871" s="155">
        <f>F871-H871</f>
        <v>0</v>
      </c>
      <c r="H871" s="161"/>
    </row>
    <row r="872" spans="1:8" ht="15">
      <c r="A872" s="157" t="s">
        <v>573</v>
      </c>
      <c r="B872" s="150" t="s">
        <v>434</v>
      </c>
      <c r="C872" s="150" t="s">
        <v>405</v>
      </c>
      <c r="D872" s="147" t="s">
        <v>1429</v>
      </c>
      <c r="E872" s="150" t="s">
        <v>574</v>
      </c>
      <c r="F872" s="158">
        <f>26863-13000-13797-66</f>
        <v>0</v>
      </c>
      <c r="G872" s="155">
        <f>F872-H872</f>
        <v>0</v>
      </c>
      <c r="H872" s="161"/>
    </row>
    <row r="873" spans="1:8" ht="48">
      <c r="A873" s="157" t="s">
        <v>312</v>
      </c>
      <c r="B873" s="150" t="s">
        <v>434</v>
      </c>
      <c r="C873" s="150" t="s">
        <v>405</v>
      </c>
      <c r="D873" s="150" t="s">
        <v>1430</v>
      </c>
      <c r="E873" s="150"/>
      <c r="F873" s="155">
        <f>F874</f>
        <v>250</v>
      </c>
      <c r="G873" s="155">
        <f>G874</f>
        <v>250</v>
      </c>
      <c r="H873" s="161"/>
    </row>
    <row r="874" spans="1:8" ht="36">
      <c r="A874" s="179" t="s">
        <v>1189</v>
      </c>
      <c r="B874" s="150" t="s">
        <v>434</v>
      </c>
      <c r="C874" s="150" t="s">
        <v>405</v>
      </c>
      <c r="D874" s="150" t="s">
        <v>1431</v>
      </c>
      <c r="E874" s="150"/>
      <c r="F874" s="155">
        <f>F875</f>
        <v>250</v>
      </c>
      <c r="G874" s="155">
        <f>G875</f>
        <v>250</v>
      </c>
      <c r="H874" s="161"/>
    </row>
    <row r="875" spans="1:8" ht="36">
      <c r="A875" s="152" t="s">
        <v>490</v>
      </c>
      <c r="B875" s="150" t="s">
        <v>434</v>
      </c>
      <c r="C875" s="150" t="s">
        <v>405</v>
      </c>
      <c r="D875" s="150" t="s">
        <v>1431</v>
      </c>
      <c r="E875" s="150" t="s">
        <v>489</v>
      </c>
      <c r="F875" s="279">
        <f>F876+F877</f>
        <v>250</v>
      </c>
      <c r="G875" s="155">
        <f>G876+G877</f>
        <v>250</v>
      </c>
      <c r="H875" s="155">
        <f>H876+H877</f>
        <v>0</v>
      </c>
    </row>
    <row r="876" spans="1:8" ht="24">
      <c r="A876" s="157" t="s">
        <v>561</v>
      </c>
      <c r="B876" s="150" t="s">
        <v>434</v>
      </c>
      <c r="C876" s="150" t="s">
        <v>405</v>
      </c>
      <c r="D876" s="150" t="s">
        <v>1431</v>
      </c>
      <c r="E876" s="150" t="s">
        <v>1126</v>
      </c>
      <c r="F876" s="158">
        <f>250</f>
        <v>250</v>
      </c>
      <c r="G876" s="155">
        <f aca="true" t="shared" si="53" ref="G876:G886">F876</f>
        <v>250</v>
      </c>
      <c r="H876" s="161"/>
    </row>
    <row r="877" spans="1:8" ht="24">
      <c r="A877" s="157" t="s">
        <v>1049</v>
      </c>
      <c r="B877" s="150" t="s">
        <v>434</v>
      </c>
      <c r="C877" s="150" t="s">
        <v>405</v>
      </c>
      <c r="D877" s="150" t="s">
        <v>1431</v>
      </c>
      <c r="E877" s="150" t="s">
        <v>1126</v>
      </c>
      <c r="F877" s="158"/>
      <c r="G877" s="155">
        <f t="shared" si="53"/>
        <v>0</v>
      </c>
      <c r="H877" s="161"/>
    </row>
    <row r="878" spans="1:8" ht="36">
      <c r="A878" s="157" t="s">
        <v>1078</v>
      </c>
      <c r="B878" s="150" t="s">
        <v>434</v>
      </c>
      <c r="C878" s="150" t="s">
        <v>405</v>
      </c>
      <c r="D878" s="150" t="s">
        <v>1079</v>
      </c>
      <c r="E878" s="150"/>
      <c r="F878" s="279">
        <f>F879</f>
        <v>7708</v>
      </c>
      <c r="G878" s="155">
        <f t="shared" si="53"/>
        <v>7708</v>
      </c>
      <c r="H878" s="161"/>
    </row>
    <row r="879" spans="1:8" ht="36">
      <c r="A879" s="152" t="s">
        <v>490</v>
      </c>
      <c r="B879" s="150" t="s">
        <v>434</v>
      </c>
      <c r="C879" s="150" t="s">
        <v>405</v>
      </c>
      <c r="D879" s="150" t="s">
        <v>1079</v>
      </c>
      <c r="E879" s="150" t="s">
        <v>489</v>
      </c>
      <c r="F879" s="279">
        <f>F880+F882</f>
        <v>7708</v>
      </c>
      <c r="G879" s="155">
        <f t="shared" si="53"/>
        <v>7708</v>
      </c>
      <c r="H879" s="161"/>
    </row>
    <row r="880" spans="1:8" ht="24">
      <c r="A880" s="157" t="s">
        <v>896</v>
      </c>
      <c r="B880" s="150" t="s">
        <v>434</v>
      </c>
      <c r="C880" s="150" t="s">
        <v>405</v>
      </c>
      <c r="D880" s="150" t="s">
        <v>1079</v>
      </c>
      <c r="E880" s="150" t="s">
        <v>574</v>
      </c>
      <c r="F880" s="279">
        <f>F881</f>
        <v>1220</v>
      </c>
      <c r="G880" s="155">
        <f t="shared" si="53"/>
        <v>1220</v>
      </c>
      <c r="H880" s="161"/>
    </row>
    <row r="881" spans="1:8" ht="120">
      <c r="A881" s="157" t="s">
        <v>1681</v>
      </c>
      <c r="B881" s="150" t="s">
        <v>434</v>
      </c>
      <c r="C881" s="150" t="s">
        <v>405</v>
      </c>
      <c r="D881" s="150" t="s">
        <v>1079</v>
      </c>
      <c r="E881" s="150" t="s">
        <v>574</v>
      </c>
      <c r="F881" s="158">
        <v>1220</v>
      </c>
      <c r="G881" s="155">
        <f t="shared" si="53"/>
        <v>1220</v>
      </c>
      <c r="H881" s="161"/>
    </row>
    <row r="882" spans="1:8" ht="24">
      <c r="A882" s="157" t="s">
        <v>561</v>
      </c>
      <c r="B882" s="150" t="s">
        <v>434</v>
      </c>
      <c r="C882" s="150" t="s">
        <v>405</v>
      </c>
      <c r="D882" s="150" t="s">
        <v>1079</v>
      </c>
      <c r="E882" s="150" t="s">
        <v>1126</v>
      </c>
      <c r="F882" s="158">
        <f>F883+F884+F885+F886</f>
        <v>6488</v>
      </c>
      <c r="G882" s="155">
        <f t="shared" si="53"/>
        <v>6488</v>
      </c>
      <c r="H882" s="161"/>
    </row>
    <row r="883" spans="1:8" ht="84">
      <c r="A883" s="157" t="s">
        <v>1682</v>
      </c>
      <c r="B883" s="150" t="s">
        <v>434</v>
      </c>
      <c r="C883" s="150" t="s">
        <v>405</v>
      </c>
      <c r="D883" s="150" t="s">
        <v>1079</v>
      </c>
      <c r="E883" s="150" t="s">
        <v>1126</v>
      </c>
      <c r="F883" s="158">
        <v>640</v>
      </c>
      <c r="G883" s="155">
        <f t="shared" si="53"/>
        <v>640</v>
      </c>
      <c r="H883" s="161"/>
    </row>
    <row r="884" spans="1:8" ht="108">
      <c r="A884" s="157" t="s">
        <v>1683</v>
      </c>
      <c r="B884" s="150" t="s">
        <v>434</v>
      </c>
      <c r="C884" s="150" t="s">
        <v>405</v>
      </c>
      <c r="D884" s="150" t="s">
        <v>1079</v>
      </c>
      <c r="E884" s="150" t="s">
        <v>1126</v>
      </c>
      <c r="F884" s="158">
        <v>360</v>
      </c>
      <c r="G884" s="155">
        <f t="shared" si="53"/>
        <v>360</v>
      </c>
      <c r="H884" s="161"/>
    </row>
    <row r="885" spans="1:8" ht="120">
      <c r="A885" s="157" t="s">
        <v>1684</v>
      </c>
      <c r="B885" s="150" t="s">
        <v>434</v>
      </c>
      <c r="C885" s="150" t="s">
        <v>405</v>
      </c>
      <c r="D885" s="150" t="s">
        <v>1079</v>
      </c>
      <c r="E885" s="150" t="s">
        <v>1126</v>
      </c>
      <c r="F885" s="158">
        <v>2688</v>
      </c>
      <c r="G885" s="155">
        <f t="shared" si="53"/>
        <v>2688</v>
      </c>
      <c r="H885" s="161"/>
    </row>
    <row r="886" spans="1:8" ht="96">
      <c r="A886" s="157" t="s">
        <v>1685</v>
      </c>
      <c r="B886" s="150" t="s">
        <v>434</v>
      </c>
      <c r="C886" s="150" t="s">
        <v>405</v>
      </c>
      <c r="D886" s="150" t="s">
        <v>1079</v>
      </c>
      <c r="E886" s="150" t="s">
        <v>1126</v>
      </c>
      <c r="F886" s="158">
        <v>2800</v>
      </c>
      <c r="G886" s="155">
        <f t="shared" si="53"/>
        <v>2800</v>
      </c>
      <c r="H886" s="161"/>
    </row>
    <row r="887" spans="1:8" ht="22.5">
      <c r="A887" s="162" t="s">
        <v>1534</v>
      </c>
      <c r="B887" s="150" t="s">
        <v>434</v>
      </c>
      <c r="C887" s="150" t="s">
        <v>436</v>
      </c>
      <c r="D887" s="150"/>
      <c r="E887" s="150"/>
      <c r="F887" s="279">
        <f>F888+F922</f>
        <v>324818</v>
      </c>
      <c r="G887" s="279">
        <f>G888+G922</f>
        <v>321786</v>
      </c>
      <c r="H887" s="279">
        <f>H888+H922</f>
        <v>3032</v>
      </c>
    </row>
    <row r="888" spans="1:8" ht="36">
      <c r="A888" s="164" t="s">
        <v>1416</v>
      </c>
      <c r="B888" s="147" t="s">
        <v>434</v>
      </c>
      <c r="C888" s="147" t="s">
        <v>436</v>
      </c>
      <c r="D888" s="150" t="s">
        <v>3</v>
      </c>
      <c r="E888" s="150"/>
      <c r="F888" s="279">
        <f>F889+F896</f>
        <v>319618</v>
      </c>
      <c r="G888" s="279">
        <f>G889+G896</f>
        <v>316586</v>
      </c>
      <c r="H888" s="279">
        <f>H889+H896</f>
        <v>3032</v>
      </c>
    </row>
    <row r="889" spans="1:8" ht="15">
      <c r="A889" s="179" t="s">
        <v>1736</v>
      </c>
      <c r="B889" s="183" t="s">
        <v>434</v>
      </c>
      <c r="C889" s="147" t="s">
        <v>436</v>
      </c>
      <c r="D889" s="185" t="s">
        <v>4</v>
      </c>
      <c r="E889" s="150"/>
      <c r="F889" s="279">
        <f>F890</f>
        <v>3032</v>
      </c>
      <c r="G889" s="155"/>
      <c r="H889" s="279">
        <f>H890</f>
        <v>3032</v>
      </c>
    </row>
    <row r="890" spans="1:8" ht="48">
      <c r="A890" s="157" t="s">
        <v>1425</v>
      </c>
      <c r="B890" s="150" t="s">
        <v>434</v>
      </c>
      <c r="C890" s="147" t="s">
        <v>436</v>
      </c>
      <c r="D890" s="147" t="s">
        <v>670</v>
      </c>
      <c r="E890" s="150"/>
      <c r="F890" s="279">
        <f>F891</f>
        <v>3032</v>
      </c>
      <c r="G890" s="155"/>
      <c r="H890" s="279">
        <f>H891</f>
        <v>3032</v>
      </c>
    </row>
    <row r="891" spans="1:8" ht="84">
      <c r="A891" s="157" t="s">
        <v>188</v>
      </c>
      <c r="B891" s="147" t="s">
        <v>434</v>
      </c>
      <c r="C891" s="147" t="s">
        <v>436</v>
      </c>
      <c r="D891" s="147" t="s">
        <v>1426</v>
      </c>
      <c r="E891" s="147"/>
      <c r="F891" s="279">
        <f>F892+F894</f>
        <v>3032</v>
      </c>
      <c r="G891" s="155"/>
      <c r="H891" s="279">
        <f>H892+H894</f>
        <v>3032</v>
      </c>
    </row>
    <row r="892" spans="1:8" ht="24">
      <c r="A892" s="153" t="s">
        <v>530</v>
      </c>
      <c r="B892" s="147" t="s">
        <v>434</v>
      </c>
      <c r="C892" s="147" t="s">
        <v>436</v>
      </c>
      <c r="D892" s="147" t="s">
        <v>1426</v>
      </c>
      <c r="E892" s="147" t="s">
        <v>531</v>
      </c>
      <c r="F892" s="279">
        <f>F893</f>
        <v>190</v>
      </c>
      <c r="G892" s="155"/>
      <c r="H892" s="279">
        <v>190</v>
      </c>
    </row>
    <row r="893" spans="1:8" ht="24">
      <c r="A893" s="157" t="s">
        <v>1073</v>
      </c>
      <c r="B893" s="147" t="s">
        <v>434</v>
      </c>
      <c r="C893" s="147" t="s">
        <v>436</v>
      </c>
      <c r="D893" s="147" t="s">
        <v>1426</v>
      </c>
      <c r="E893" s="147" t="s">
        <v>399</v>
      </c>
      <c r="F893" s="158">
        <f>190</f>
        <v>190</v>
      </c>
      <c r="G893" s="155"/>
      <c r="H893" s="279">
        <v>190</v>
      </c>
    </row>
    <row r="894" spans="1:8" ht="36">
      <c r="A894" s="152" t="s">
        <v>490</v>
      </c>
      <c r="B894" s="147" t="s">
        <v>434</v>
      </c>
      <c r="C894" s="147" t="s">
        <v>436</v>
      </c>
      <c r="D894" s="147" t="s">
        <v>1426</v>
      </c>
      <c r="E894" s="147" t="s">
        <v>489</v>
      </c>
      <c r="F894" s="279">
        <f>F895</f>
        <v>2842</v>
      </c>
      <c r="G894" s="155"/>
      <c r="H894" s="279">
        <f>H895</f>
        <v>2842</v>
      </c>
    </row>
    <row r="895" spans="1:8" ht="15">
      <c r="A895" s="157" t="s">
        <v>573</v>
      </c>
      <c r="B895" s="147" t="s">
        <v>434</v>
      </c>
      <c r="C895" s="147" t="s">
        <v>436</v>
      </c>
      <c r="D895" s="147" t="s">
        <v>1426</v>
      </c>
      <c r="E895" s="147" t="s">
        <v>574</v>
      </c>
      <c r="F895" s="158">
        <f>976+1866+190-190</f>
        <v>2842</v>
      </c>
      <c r="G895" s="155"/>
      <c r="H895" s="155">
        <v>2842</v>
      </c>
    </row>
    <row r="896" spans="1:8" ht="36">
      <c r="A896" s="152" t="s">
        <v>1746</v>
      </c>
      <c r="B896" s="147" t="s">
        <v>434</v>
      </c>
      <c r="C896" s="147" t="s">
        <v>436</v>
      </c>
      <c r="D896" s="147" t="s">
        <v>643</v>
      </c>
      <c r="E896" s="150"/>
      <c r="F896" s="279">
        <f>F897+F913+F918</f>
        <v>316586</v>
      </c>
      <c r="G896" s="325">
        <f>G897+G913+G918</f>
        <v>316586</v>
      </c>
      <c r="H896" s="161"/>
    </row>
    <row r="897" spans="1:8" ht="69.75" customHeight="1">
      <c r="A897" s="157" t="s">
        <v>540</v>
      </c>
      <c r="B897" s="147" t="s">
        <v>434</v>
      </c>
      <c r="C897" s="147" t="s">
        <v>436</v>
      </c>
      <c r="D897" s="147" t="s">
        <v>642</v>
      </c>
      <c r="E897" s="147"/>
      <c r="F897" s="279">
        <f>F898+F902+F906</f>
        <v>289114.9</v>
      </c>
      <c r="G897" s="325">
        <f>G898+G902+G906</f>
        <v>289114.9</v>
      </c>
      <c r="H897" s="161"/>
    </row>
    <row r="898" spans="1:8" ht="60">
      <c r="A898" s="326" t="s">
        <v>1767</v>
      </c>
      <c r="B898" s="147" t="s">
        <v>434</v>
      </c>
      <c r="C898" s="147" t="s">
        <v>436</v>
      </c>
      <c r="D898" s="147" t="s">
        <v>1768</v>
      </c>
      <c r="E898" s="147"/>
      <c r="F898" s="325">
        <f>F899</f>
        <v>2085</v>
      </c>
      <c r="G898" s="155">
        <f>G899</f>
        <v>2085</v>
      </c>
      <c r="H898" s="161"/>
    </row>
    <row r="899" spans="1:8" ht="36">
      <c r="A899" s="152" t="s">
        <v>490</v>
      </c>
      <c r="B899" s="147" t="s">
        <v>434</v>
      </c>
      <c r="C899" s="147" t="s">
        <v>436</v>
      </c>
      <c r="D899" s="147" t="s">
        <v>1768</v>
      </c>
      <c r="E899" s="147" t="s">
        <v>489</v>
      </c>
      <c r="F899" s="325">
        <f>F900+F901</f>
        <v>2085</v>
      </c>
      <c r="G899" s="325">
        <f>G900+G901</f>
        <v>2085</v>
      </c>
      <c r="H899" s="161"/>
    </row>
    <row r="900" spans="1:8" ht="15">
      <c r="A900" s="157" t="s">
        <v>573</v>
      </c>
      <c r="B900" s="147" t="s">
        <v>434</v>
      </c>
      <c r="C900" s="147" t="s">
        <v>436</v>
      </c>
      <c r="D900" s="147" t="s">
        <v>1768</v>
      </c>
      <c r="E900" s="147" t="s">
        <v>574</v>
      </c>
      <c r="F900" s="158">
        <f>1750+171</f>
        <v>1921</v>
      </c>
      <c r="G900" s="155">
        <f>F900</f>
        <v>1921</v>
      </c>
      <c r="H900" s="161"/>
    </row>
    <row r="901" spans="1:8" ht="15">
      <c r="A901" s="157" t="s">
        <v>1125</v>
      </c>
      <c r="B901" s="147" t="s">
        <v>434</v>
      </c>
      <c r="C901" s="147" t="s">
        <v>436</v>
      </c>
      <c r="D901" s="147" t="s">
        <v>1768</v>
      </c>
      <c r="E901" s="147" t="s">
        <v>1126</v>
      </c>
      <c r="F901" s="158">
        <v>164</v>
      </c>
      <c r="G901" s="155">
        <f>F901</f>
        <v>164</v>
      </c>
      <c r="H901" s="161"/>
    </row>
    <row r="902" spans="1:8" ht="60">
      <c r="A902" s="326" t="s">
        <v>1803</v>
      </c>
      <c r="B902" s="147" t="s">
        <v>434</v>
      </c>
      <c r="C902" s="147" t="s">
        <v>436</v>
      </c>
      <c r="D902" s="147" t="s">
        <v>1804</v>
      </c>
      <c r="E902" s="147"/>
      <c r="F902" s="325">
        <f>F903</f>
        <v>156</v>
      </c>
      <c r="G902" s="155">
        <f>G903</f>
        <v>156</v>
      </c>
      <c r="H902" s="161"/>
    </row>
    <row r="903" spans="1:8" ht="36">
      <c r="A903" s="152" t="s">
        <v>490</v>
      </c>
      <c r="B903" s="150" t="s">
        <v>434</v>
      </c>
      <c r="C903" s="147" t="s">
        <v>436</v>
      </c>
      <c r="D903" s="147" t="s">
        <v>1804</v>
      </c>
      <c r="E903" s="150" t="s">
        <v>489</v>
      </c>
      <c r="F903" s="325">
        <f>F904+F905</f>
        <v>156</v>
      </c>
      <c r="G903" s="325">
        <f>G904+G905</f>
        <v>156</v>
      </c>
      <c r="H903" s="161"/>
    </row>
    <row r="904" spans="1:8" ht="15">
      <c r="A904" s="157" t="s">
        <v>371</v>
      </c>
      <c r="B904" s="150" t="s">
        <v>434</v>
      </c>
      <c r="C904" s="147" t="s">
        <v>436</v>
      </c>
      <c r="D904" s="147" t="s">
        <v>1804</v>
      </c>
      <c r="E904" s="150" t="s">
        <v>574</v>
      </c>
      <c r="F904" s="158">
        <f>130+14</f>
        <v>144</v>
      </c>
      <c r="G904" s="155">
        <f>F904</f>
        <v>144</v>
      </c>
      <c r="H904" s="161"/>
    </row>
    <row r="905" spans="1:8" ht="15">
      <c r="A905" s="157" t="s">
        <v>1125</v>
      </c>
      <c r="B905" s="150" t="s">
        <v>434</v>
      </c>
      <c r="C905" s="147" t="s">
        <v>436</v>
      </c>
      <c r="D905" s="147" t="s">
        <v>1804</v>
      </c>
      <c r="E905" s="150" t="s">
        <v>1126</v>
      </c>
      <c r="F905" s="158">
        <v>12</v>
      </c>
      <c r="G905" s="155">
        <f>F905</f>
        <v>12</v>
      </c>
      <c r="H905" s="161"/>
    </row>
    <row r="906" spans="1:8" ht="36">
      <c r="A906" s="157" t="s">
        <v>641</v>
      </c>
      <c r="B906" s="147" t="s">
        <v>434</v>
      </c>
      <c r="C906" s="147" t="s">
        <v>436</v>
      </c>
      <c r="D906" s="147" t="s">
        <v>644</v>
      </c>
      <c r="E906" s="147"/>
      <c r="F906" s="279">
        <f>F907</f>
        <v>286873.9</v>
      </c>
      <c r="G906" s="155">
        <f>G907</f>
        <v>286873.9</v>
      </c>
      <c r="H906" s="161"/>
    </row>
    <row r="907" spans="1:8" ht="36">
      <c r="A907" s="152" t="s">
        <v>490</v>
      </c>
      <c r="B907" s="150" t="s">
        <v>434</v>
      </c>
      <c r="C907" s="147" t="s">
        <v>436</v>
      </c>
      <c r="D907" s="147" t="s">
        <v>644</v>
      </c>
      <c r="E907" s="150" t="s">
        <v>489</v>
      </c>
      <c r="F907" s="279">
        <f>F908+F911</f>
        <v>286873.9</v>
      </c>
      <c r="G907" s="279">
        <f>G908+G911</f>
        <v>286873.9</v>
      </c>
      <c r="H907" s="161"/>
    </row>
    <row r="908" spans="1:8" ht="24">
      <c r="A908" s="157" t="s">
        <v>491</v>
      </c>
      <c r="B908" s="150" t="s">
        <v>434</v>
      </c>
      <c r="C908" s="147" t="s">
        <v>436</v>
      </c>
      <c r="D908" s="147" t="s">
        <v>644</v>
      </c>
      <c r="E908" s="150" t="s">
        <v>574</v>
      </c>
      <c r="F908" s="158">
        <f>165591+87431+29-336+8350+700+F910+2982+F909-250-17500+8105-130-14</f>
        <v>256913.90000000002</v>
      </c>
      <c r="G908" s="155">
        <f aca="true" t="shared" si="54" ref="G908:G927">F908</f>
        <v>256913.90000000002</v>
      </c>
      <c r="H908" s="161"/>
    </row>
    <row r="909" spans="1:8" ht="36">
      <c r="A909" s="157" t="s">
        <v>1686</v>
      </c>
      <c r="B909" s="150" t="s">
        <v>434</v>
      </c>
      <c r="C909" s="147" t="s">
        <v>436</v>
      </c>
      <c r="D909" s="147" t="s">
        <v>644</v>
      </c>
      <c r="E909" s="150" t="s">
        <v>574</v>
      </c>
      <c r="F909" s="158">
        <f>1955.9</f>
        <v>1955.9</v>
      </c>
      <c r="G909" s="155">
        <f t="shared" si="54"/>
        <v>1955.9</v>
      </c>
      <c r="H909" s="161"/>
    </row>
    <row r="910" spans="1:8" ht="60">
      <c r="A910" s="157" t="s">
        <v>1568</v>
      </c>
      <c r="B910" s="150" t="s">
        <v>434</v>
      </c>
      <c r="C910" s="150" t="s">
        <v>436</v>
      </c>
      <c r="D910" s="147" t="s">
        <v>644</v>
      </c>
      <c r="E910" s="150" t="s">
        <v>574</v>
      </c>
      <c r="F910" s="158">
        <f>80-80</f>
        <v>0</v>
      </c>
      <c r="G910" s="155">
        <f t="shared" si="54"/>
        <v>0</v>
      </c>
      <c r="H910" s="161"/>
    </row>
    <row r="911" spans="1:8" ht="24">
      <c r="A911" s="157" t="s">
        <v>561</v>
      </c>
      <c r="B911" s="150" t="s">
        <v>434</v>
      </c>
      <c r="C911" s="150" t="s">
        <v>436</v>
      </c>
      <c r="D911" s="147" t="s">
        <v>644</v>
      </c>
      <c r="E911" s="150" t="s">
        <v>1126</v>
      </c>
      <c r="F911" s="158">
        <f>28572+1445+F912-100-12</f>
        <v>29960</v>
      </c>
      <c r="G911" s="155">
        <f t="shared" si="54"/>
        <v>29960</v>
      </c>
      <c r="H911" s="161"/>
    </row>
    <row r="912" spans="1:8" ht="24">
      <c r="A912" s="157" t="s">
        <v>1687</v>
      </c>
      <c r="B912" s="150" t="s">
        <v>434</v>
      </c>
      <c r="C912" s="150" t="s">
        <v>436</v>
      </c>
      <c r="D912" s="147" t="s">
        <v>644</v>
      </c>
      <c r="E912" s="150" t="s">
        <v>1126</v>
      </c>
      <c r="F912" s="158">
        <v>55</v>
      </c>
      <c r="G912" s="155">
        <f t="shared" si="54"/>
        <v>55</v>
      </c>
      <c r="H912" s="161"/>
    </row>
    <row r="913" spans="1:8" ht="36">
      <c r="A913" s="157" t="s">
        <v>1809</v>
      </c>
      <c r="B913" s="150" t="s">
        <v>808</v>
      </c>
      <c r="C913" s="150" t="s">
        <v>436</v>
      </c>
      <c r="D913" s="147" t="s">
        <v>1810</v>
      </c>
      <c r="E913" s="150"/>
      <c r="F913" s="325">
        <f aca="true" t="shared" si="55" ref="F913:G915">F914</f>
        <v>608.1</v>
      </c>
      <c r="G913" s="155">
        <f t="shared" si="55"/>
        <v>608.1</v>
      </c>
      <c r="H913" s="161"/>
    </row>
    <row r="914" spans="1:8" ht="36">
      <c r="A914" s="157" t="s">
        <v>641</v>
      </c>
      <c r="B914" s="147" t="s">
        <v>434</v>
      </c>
      <c r="C914" s="147" t="s">
        <v>436</v>
      </c>
      <c r="D914" s="147" t="s">
        <v>1811</v>
      </c>
      <c r="E914" s="147"/>
      <c r="F914" s="325">
        <f t="shared" si="55"/>
        <v>608.1</v>
      </c>
      <c r="G914" s="155">
        <f t="shared" si="55"/>
        <v>608.1</v>
      </c>
      <c r="H914" s="161"/>
    </row>
    <row r="915" spans="1:8" ht="36">
      <c r="A915" s="152" t="s">
        <v>490</v>
      </c>
      <c r="B915" s="150" t="s">
        <v>434</v>
      </c>
      <c r="C915" s="147" t="s">
        <v>436</v>
      </c>
      <c r="D915" s="147" t="s">
        <v>1811</v>
      </c>
      <c r="E915" s="150" t="s">
        <v>489</v>
      </c>
      <c r="F915" s="325">
        <f t="shared" si="55"/>
        <v>608.1</v>
      </c>
      <c r="G915" s="325">
        <f t="shared" si="55"/>
        <v>608.1</v>
      </c>
      <c r="H915" s="161"/>
    </row>
    <row r="916" spans="1:8" ht="24">
      <c r="A916" s="157" t="s">
        <v>491</v>
      </c>
      <c r="B916" s="150" t="s">
        <v>434</v>
      </c>
      <c r="C916" s="147" t="s">
        <v>436</v>
      </c>
      <c r="D916" s="147" t="s">
        <v>1811</v>
      </c>
      <c r="E916" s="150" t="s">
        <v>574</v>
      </c>
      <c r="F916" s="158">
        <f>F917</f>
        <v>608.1</v>
      </c>
      <c r="G916" s="155">
        <f>F916</f>
        <v>608.1</v>
      </c>
      <c r="H916" s="161"/>
    </row>
    <row r="917" spans="1:8" ht="48">
      <c r="A917" s="157" t="s">
        <v>1812</v>
      </c>
      <c r="B917" s="150" t="s">
        <v>434</v>
      </c>
      <c r="C917" s="147" t="s">
        <v>436</v>
      </c>
      <c r="D917" s="147" t="s">
        <v>1811</v>
      </c>
      <c r="E917" s="150" t="s">
        <v>574</v>
      </c>
      <c r="F917" s="158">
        <v>608.1</v>
      </c>
      <c r="G917" s="155">
        <f>F917</f>
        <v>608.1</v>
      </c>
      <c r="H917" s="161"/>
    </row>
    <row r="918" spans="1:8" ht="36">
      <c r="A918" s="157" t="s">
        <v>645</v>
      </c>
      <c r="B918" s="150" t="s">
        <v>434</v>
      </c>
      <c r="C918" s="150" t="s">
        <v>436</v>
      </c>
      <c r="D918" s="147" t="s">
        <v>1428</v>
      </c>
      <c r="E918" s="150"/>
      <c r="F918" s="279">
        <f>F919</f>
        <v>26863</v>
      </c>
      <c r="G918" s="155">
        <f t="shared" si="54"/>
        <v>26863</v>
      </c>
      <c r="H918" s="161"/>
    </row>
    <row r="919" spans="1:8" ht="48">
      <c r="A919" s="157" t="s">
        <v>646</v>
      </c>
      <c r="B919" s="150" t="s">
        <v>434</v>
      </c>
      <c r="C919" s="150" t="s">
        <v>436</v>
      </c>
      <c r="D919" s="147" t="s">
        <v>1429</v>
      </c>
      <c r="E919" s="150"/>
      <c r="F919" s="279">
        <f>F920</f>
        <v>26863</v>
      </c>
      <c r="G919" s="155">
        <f t="shared" si="54"/>
        <v>26863</v>
      </c>
      <c r="H919" s="161"/>
    </row>
    <row r="920" spans="1:8" ht="36">
      <c r="A920" s="152" t="s">
        <v>490</v>
      </c>
      <c r="B920" s="150" t="s">
        <v>434</v>
      </c>
      <c r="C920" s="150" t="s">
        <v>436</v>
      </c>
      <c r="D920" s="147" t="s">
        <v>1429</v>
      </c>
      <c r="E920" s="150" t="s">
        <v>489</v>
      </c>
      <c r="F920" s="279">
        <f>F921</f>
        <v>26863</v>
      </c>
      <c r="G920" s="155">
        <f t="shared" si="54"/>
        <v>26863</v>
      </c>
      <c r="H920" s="161"/>
    </row>
    <row r="921" spans="1:8" ht="15">
      <c r="A921" s="157" t="s">
        <v>573</v>
      </c>
      <c r="B921" s="150" t="s">
        <v>434</v>
      </c>
      <c r="C921" s="150" t="s">
        <v>436</v>
      </c>
      <c r="D921" s="147" t="s">
        <v>1429</v>
      </c>
      <c r="E921" s="150" t="s">
        <v>574</v>
      </c>
      <c r="F921" s="158">
        <f>13797+66+13000+1000-1000</f>
        <v>26863</v>
      </c>
      <c r="G921" s="155">
        <f t="shared" si="54"/>
        <v>26863</v>
      </c>
      <c r="H921" s="161"/>
    </row>
    <row r="922" spans="1:8" ht="36">
      <c r="A922" s="157" t="s">
        <v>1078</v>
      </c>
      <c r="B922" s="150" t="s">
        <v>434</v>
      </c>
      <c r="C922" s="150" t="s">
        <v>436</v>
      </c>
      <c r="D922" s="147" t="s">
        <v>1079</v>
      </c>
      <c r="E922" s="150"/>
      <c r="F922" s="279">
        <f>F923</f>
        <v>5200</v>
      </c>
      <c r="G922" s="155">
        <f t="shared" si="54"/>
        <v>5200</v>
      </c>
      <c r="H922" s="161"/>
    </row>
    <row r="923" spans="1:8" ht="36">
      <c r="A923" s="152" t="s">
        <v>490</v>
      </c>
      <c r="B923" s="150" t="s">
        <v>434</v>
      </c>
      <c r="C923" s="150" t="s">
        <v>436</v>
      </c>
      <c r="D923" s="147" t="s">
        <v>1079</v>
      </c>
      <c r="E923" s="150" t="s">
        <v>489</v>
      </c>
      <c r="F923" s="279">
        <f>F924</f>
        <v>5200</v>
      </c>
      <c r="G923" s="155">
        <f t="shared" si="54"/>
        <v>5200</v>
      </c>
      <c r="H923" s="161"/>
    </row>
    <row r="924" spans="1:8" ht="24">
      <c r="A924" s="157" t="s">
        <v>491</v>
      </c>
      <c r="B924" s="150" t="s">
        <v>434</v>
      </c>
      <c r="C924" s="150" t="s">
        <v>436</v>
      </c>
      <c r="D924" s="147" t="s">
        <v>1079</v>
      </c>
      <c r="E924" s="150" t="s">
        <v>574</v>
      </c>
      <c r="F924" s="279">
        <f>F925+F926+F927</f>
        <v>5200</v>
      </c>
      <c r="G924" s="155">
        <f t="shared" si="54"/>
        <v>5200</v>
      </c>
      <c r="H924" s="161"/>
    </row>
    <row r="925" spans="1:8" ht="72">
      <c r="A925" s="157" t="s">
        <v>1688</v>
      </c>
      <c r="B925" s="150" t="s">
        <v>434</v>
      </c>
      <c r="C925" s="150" t="s">
        <v>436</v>
      </c>
      <c r="D925" s="147" t="s">
        <v>1079</v>
      </c>
      <c r="E925" s="150" t="s">
        <v>574</v>
      </c>
      <c r="F925" s="158">
        <v>100</v>
      </c>
      <c r="G925" s="155">
        <f t="shared" si="54"/>
        <v>100</v>
      </c>
      <c r="H925" s="161"/>
    </row>
    <row r="926" spans="1:8" ht="84">
      <c r="A926" s="157" t="s">
        <v>1689</v>
      </c>
      <c r="B926" s="150" t="s">
        <v>434</v>
      </c>
      <c r="C926" s="150" t="s">
        <v>436</v>
      </c>
      <c r="D926" s="147" t="s">
        <v>1079</v>
      </c>
      <c r="E926" s="150" t="s">
        <v>574</v>
      </c>
      <c r="F926" s="158">
        <v>2500</v>
      </c>
      <c r="G926" s="155">
        <f t="shared" si="54"/>
        <v>2500</v>
      </c>
      <c r="H926" s="161"/>
    </row>
    <row r="927" spans="1:8" ht="96">
      <c r="A927" s="157" t="s">
        <v>1690</v>
      </c>
      <c r="B927" s="150" t="s">
        <v>434</v>
      </c>
      <c r="C927" s="150" t="s">
        <v>436</v>
      </c>
      <c r="D927" s="147" t="s">
        <v>1079</v>
      </c>
      <c r="E927" s="150" t="s">
        <v>574</v>
      </c>
      <c r="F927" s="158">
        <v>2600</v>
      </c>
      <c r="G927" s="155">
        <f t="shared" si="54"/>
        <v>2600</v>
      </c>
      <c r="H927" s="161"/>
    </row>
    <row r="928" spans="1:8" ht="33.75">
      <c r="A928" s="156" t="s">
        <v>779</v>
      </c>
      <c r="B928" s="147" t="s">
        <v>434</v>
      </c>
      <c r="C928" s="147" t="s">
        <v>432</v>
      </c>
      <c r="D928" s="150"/>
      <c r="E928" s="150"/>
      <c r="F928" s="155">
        <f aca="true" t="shared" si="56" ref="F928:F935">F929</f>
        <v>300</v>
      </c>
      <c r="G928" s="155">
        <f aca="true" t="shared" si="57" ref="G928:G937">F928-H928</f>
        <v>300</v>
      </c>
      <c r="H928" s="161"/>
    </row>
    <row r="929" spans="1:8" ht="36">
      <c r="A929" s="164" t="s">
        <v>1416</v>
      </c>
      <c r="B929" s="147" t="s">
        <v>434</v>
      </c>
      <c r="C929" s="147" t="s">
        <v>432</v>
      </c>
      <c r="D929" s="150" t="s">
        <v>3</v>
      </c>
      <c r="E929" s="150"/>
      <c r="F929" s="155">
        <f t="shared" si="56"/>
        <v>300</v>
      </c>
      <c r="G929" s="155">
        <f t="shared" si="57"/>
        <v>300</v>
      </c>
      <c r="H929" s="161"/>
    </row>
    <row r="930" spans="1:8" ht="15">
      <c r="A930" s="157" t="s">
        <v>1747</v>
      </c>
      <c r="B930" s="147" t="s">
        <v>434</v>
      </c>
      <c r="C930" s="147" t="s">
        <v>432</v>
      </c>
      <c r="D930" s="150" t="s">
        <v>804</v>
      </c>
      <c r="E930" s="150"/>
      <c r="F930" s="155">
        <f t="shared" si="56"/>
        <v>300</v>
      </c>
      <c r="G930" s="155">
        <f t="shared" si="57"/>
        <v>300</v>
      </c>
      <c r="H930" s="161"/>
    </row>
    <row r="931" spans="1:8" ht="36">
      <c r="A931" s="157" t="s">
        <v>116</v>
      </c>
      <c r="B931" s="147" t="s">
        <v>434</v>
      </c>
      <c r="C931" s="147" t="s">
        <v>432</v>
      </c>
      <c r="D931" s="150" t="s">
        <v>805</v>
      </c>
      <c r="E931" s="150"/>
      <c r="F931" s="155">
        <f t="shared" si="56"/>
        <v>300</v>
      </c>
      <c r="G931" s="155">
        <f>F931</f>
        <v>300</v>
      </c>
      <c r="H931" s="161"/>
    </row>
    <row r="932" spans="1:8" ht="48">
      <c r="A932" s="157" t="s">
        <v>806</v>
      </c>
      <c r="B932" s="147" t="s">
        <v>434</v>
      </c>
      <c r="C932" s="147" t="s">
        <v>432</v>
      </c>
      <c r="D932" s="150" t="s">
        <v>805</v>
      </c>
      <c r="E932" s="150"/>
      <c r="F932" s="155">
        <f>F933+F935</f>
        <v>300</v>
      </c>
      <c r="G932" s="155">
        <f>F932</f>
        <v>300</v>
      </c>
      <c r="H932" s="161"/>
    </row>
    <row r="933" spans="1:8" ht="72">
      <c r="A933" s="153" t="s">
        <v>1065</v>
      </c>
      <c r="B933" s="147" t="s">
        <v>434</v>
      </c>
      <c r="C933" s="147" t="s">
        <v>432</v>
      </c>
      <c r="D933" s="150" t="s">
        <v>805</v>
      </c>
      <c r="E933" s="150" t="s">
        <v>960</v>
      </c>
      <c r="F933" s="155">
        <f>F934</f>
        <v>240</v>
      </c>
      <c r="G933" s="155">
        <f>F933</f>
        <v>240</v>
      </c>
      <c r="H933" s="161"/>
    </row>
    <row r="934" spans="1:8" ht="24">
      <c r="A934" s="152" t="s">
        <v>515</v>
      </c>
      <c r="B934" s="147" t="s">
        <v>434</v>
      </c>
      <c r="C934" s="147" t="s">
        <v>432</v>
      </c>
      <c r="D934" s="150" t="s">
        <v>805</v>
      </c>
      <c r="E934" s="150" t="s">
        <v>115</v>
      </c>
      <c r="F934" s="158">
        <f>240</f>
        <v>240</v>
      </c>
      <c r="G934" s="155">
        <f>F934</f>
        <v>240</v>
      </c>
      <c r="H934" s="161"/>
    </row>
    <row r="935" spans="1:8" ht="24">
      <c r="A935" s="153" t="s">
        <v>1066</v>
      </c>
      <c r="B935" s="147" t="s">
        <v>434</v>
      </c>
      <c r="C935" s="147" t="s">
        <v>432</v>
      </c>
      <c r="D935" s="150" t="s">
        <v>805</v>
      </c>
      <c r="E935" s="150" t="s">
        <v>529</v>
      </c>
      <c r="F935" s="155">
        <f t="shared" si="56"/>
        <v>60</v>
      </c>
      <c r="G935" s="155">
        <f t="shared" si="57"/>
        <v>60</v>
      </c>
      <c r="H935" s="161"/>
    </row>
    <row r="936" spans="1:8" ht="24">
      <c r="A936" s="152" t="s">
        <v>1072</v>
      </c>
      <c r="B936" s="147" t="s">
        <v>434</v>
      </c>
      <c r="C936" s="147" t="s">
        <v>432</v>
      </c>
      <c r="D936" s="150" t="s">
        <v>805</v>
      </c>
      <c r="E936" s="150" t="s">
        <v>429</v>
      </c>
      <c r="F936" s="158">
        <f>300-240</f>
        <v>60</v>
      </c>
      <c r="G936" s="155">
        <f t="shared" si="57"/>
        <v>60</v>
      </c>
      <c r="H936" s="161"/>
    </row>
    <row r="937" spans="1:8" ht="22.5">
      <c r="A937" s="156" t="s">
        <v>315</v>
      </c>
      <c r="B937" s="147" t="s">
        <v>434</v>
      </c>
      <c r="C937" s="147" t="s">
        <v>434</v>
      </c>
      <c r="D937" s="147"/>
      <c r="E937" s="147"/>
      <c r="F937" s="155">
        <f>F938+F955</f>
        <v>63959</v>
      </c>
      <c r="G937" s="155">
        <f t="shared" si="57"/>
        <v>63959</v>
      </c>
      <c r="H937" s="155"/>
    </row>
    <row r="938" spans="1:8" ht="36">
      <c r="A938" s="164" t="s">
        <v>1416</v>
      </c>
      <c r="B938" s="147" t="s">
        <v>434</v>
      </c>
      <c r="C938" s="147" t="s">
        <v>434</v>
      </c>
      <c r="D938" s="147" t="s">
        <v>3</v>
      </c>
      <c r="E938" s="147"/>
      <c r="F938" s="155">
        <f>F939</f>
        <v>27364</v>
      </c>
      <c r="G938" s="155">
        <f>G939</f>
        <v>19000</v>
      </c>
      <c r="H938" s="155"/>
    </row>
    <row r="939" spans="1:8" ht="36">
      <c r="A939" s="152" t="s">
        <v>1746</v>
      </c>
      <c r="B939" s="147" t="s">
        <v>434</v>
      </c>
      <c r="C939" s="147" t="s">
        <v>434</v>
      </c>
      <c r="D939" s="147" t="s">
        <v>643</v>
      </c>
      <c r="E939" s="147"/>
      <c r="F939" s="155">
        <f>F940</f>
        <v>27364</v>
      </c>
      <c r="G939" s="155">
        <f>G940</f>
        <v>19000</v>
      </c>
      <c r="H939" s="158"/>
    </row>
    <row r="940" spans="1:8" ht="36">
      <c r="A940" s="152" t="s">
        <v>807</v>
      </c>
      <c r="B940" s="147" t="s">
        <v>434</v>
      </c>
      <c r="C940" s="147" t="s">
        <v>434</v>
      </c>
      <c r="D940" s="147" t="s">
        <v>802</v>
      </c>
      <c r="E940" s="147"/>
      <c r="F940" s="155">
        <f>F941+F947</f>
        <v>27364</v>
      </c>
      <c r="G940" s="155">
        <f>G947</f>
        <v>19000</v>
      </c>
      <c r="H940" s="158"/>
    </row>
    <row r="941" spans="1:8" ht="60">
      <c r="A941" s="152" t="s">
        <v>1569</v>
      </c>
      <c r="B941" s="147" t="s">
        <v>434</v>
      </c>
      <c r="C941" s="147" t="s">
        <v>434</v>
      </c>
      <c r="D941" s="147" t="s">
        <v>1433</v>
      </c>
      <c r="E941" s="147"/>
      <c r="F941" s="155">
        <f>F942+F944</f>
        <v>8364</v>
      </c>
      <c r="G941" s="155">
        <f>G942+G944</f>
        <v>8364</v>
      </c>
      <c r="H941" s="158"/>
    </row>
    <row r="942" spans="1:8" ht="24">
      <c r="A942" s="153" t="s">
        <v>530</v>
      </c>
      <c r="B942" s="147" t="s">
        <v>434</v>
      </c>
      <c r="C942" s="147" t="s">
        <v>434</v>
      </c>
      <c r="D942" s="147" t="s">
        <v>1433</v>
      </c>
      <c r="E942" s="147" t="s">
        <v>531</v>
      </c>
      <c r="F942" s="155">
        <f>F943</f>
        <v>4783.8</v>
      </c>
      <c r="G942" s="155">
        <f>G943</f>
        <v>4783.8</v>
      </c>
      <c r="H942" s="158"/>
    </row>
    <row r="943" spans="1:8" ht="24">
      <c r="A943" s="152" t="s">
        <v>171</v>
      </c>
      <c r="B943" s="147" t="s">
        <v>434</v>
      </c>
      <c r="C943" s="147" t="s">
        <v>434</v>
      </c>
      <c r="D943" s="147" t="s">
        <v>1433</v>
      </c>
      <c r="E943" s="147" t="s">
        <v>399</v>
      </c>
      <c r="F943" s="158">
        <f>8364-3484-96.2</f>
        <v>4783.8</v>
      </c>
      <c r="G943" s="155">
        <f>F943</f>
        <v>4783.8</v>
      </c>
      <c r="H943" s="158"/>
    </row>
    <row r="944" spans="1:8" ht="36">
      <c r="A944" s="152" t="s">
        <v>490</v>
      </c>
      <c r="B944" s="147" t="s">
        <v>434</v>
      </c>
      <c r="C944" s="147" t="s">
        <v>434</v>
      </c>
      <c r="D944" s="147" t="s">
        <v>1433</v>
      </c>
      <c r="E944" s="147" t="s">
        <v>489</v>
      </c>
      <c r="F944" s="279">
        <f>F945</f>
        <v>3580.2</v>
      </c>
      <c r="G944" s="155">
        <f>G945</f>
        <v>3580.2</v>
      </c>
      <c r="H944" s="158"/>
    </row>
    <row r="945" spans="1:8" ht="24">
      <c r="A945" s="157" t="s">
        <v>561</v>
      </c>
      <c r="B945" s="147" t="s">
        <v>434</v>
      </c>
      <c r="C945" s="147" t="s">
        <v>434</v>
      </c>
      <c r="D945" s="147" t="s">
        <v>1433</v>
      </c>
      <c r="E945" s="147" t="s">
        <v>1126</v>
      </c>
      <c r="F945" s="279">
        <f>F946</f>
        <v>3580.2</v>
      </c>
      <c r="G945" s="155">
        <f>G946</f>
        <v>3580.2</v>
      </c>
      <c r="H945" s="158"/>
    </row>
    <row r="946" spans="1:8" ht="36">
      <c r="A946" s="157" t="s">
        <v>1080</v>
      </c>
      <c r="B946" s="147" t="s">
        <v>434</v>
      </c>
      <c r="C946" s="147" t="s">
        <v>434</v>
      </c>
      <c r="D946" s="147" t="s">
        <v>1433</v>
      </c>
      <c r="E946" s="147" t="s">
        <v>1126</v>
      </c>
      <c r="F946" s="158">
        <f>3484+96.2</f>
        <v>3580.2</v>
      </c>
      <c r="G946" s="155">
        <f>F946</f>
        <v>3580.2</v>
      </c>
      <c r="H946" s="158"/>
    </row>
    <row r="947" spans="1:8" ht="36">
      <c r="A947" s="152" t="s">
        <v>84</v>
      </c>
      <c r="B947" s="147" t="s">
        <v>434</v>
      </c>
      <c r="C947" s="147" t="s">
        <v>434</v>
      </c>
      <c r="D947" s="147" t="s">
        <v>1432</v>
      </c>
      <c r="E947" s="147"/>
      <c r="F947" s="155">
        <f>F948+F950</f>
        <v>19000</v>
      </c>
      <c r="G947" s="155">
        <f>F947</f>
        <v>19000</v>
      </c>
      <c r="H947" s="158"/>
    </row>
    <row r="948" spans="1:8" ht="24">
      <c r="A948" s="153" t="s">
        <v>530</v>
      </c>
      <c r="B948" s="147" t="s">
        <v>434</v>
      </c>
      <c r="C948" s="147" t="s">
        <v>434</v>
      </c>
      <c r="D948" s="147" t="s">
        <v>1432</v>
      </c>
      <c r="E948" s="147" t="s">
        <v>531</v>
      </c>
      <c r="F948" s="155">
        <f>F949</f>
        <v>3250</v>
      </c>
      <c r="G948" s="155">
        <f>G949</f>
        <v>3250</v>
      </c>
      <c r="H948" s="158"/>
    </row>
    <row r="949" spans="1:8" ht="24">
      <c r="A949" s="152" t="s">
        <v>171</v>
      </c>
      <c r="B949" s="147" t="s">
        <v>434</v>
      </c>
      <c r="C949" s="147" t="s">
        <v>434</v>
      </c>
      <c r="D949" s="147" t="s">
        <v>1432</v>
      </c>
      <c r="E949" s="147" t="s">
        <v>399</v>
      </c>
      <c r="F949" s="158">
        <f>2800+450</f>
        <v>3250</v>
      </c>
      <c r="G949" s="158">
        <f>F949</f>
        <v>3250</v>
      </c>
      <c r="H949" s="158"/>
    </row>
    <row r="950" spans="1:8" ht="36">
      <c r="A950" s="152" t="s">
        <v>490</v>
      </c>
      <c r="B950" s="147" t="s">
        <v>434</v>
      </c>
      <c r="C950" s="147" t="s">
        <v>434</v>
      </c>
      <c r="D950" s="147" t="s">
        <v>1432</v>
      </c>
      <c r="E950" s="147" t="s">
        <v>489</v>
      </c>
      <c r="F950" s="155">
        <f>F951+F953</f>
        <v>15750</v>
      </c>
      <c r="G950" s="155">
        <f>F950-H950</f>
        <v>15750</v>
      </c>
      <c r="H950" s="158"/>
    </row>
    <row r="951" spans="1:8" ht="24">
      <c r="A951" s="157" t="s">
        <v>491</v>
      </c>
      <c r="B951" s="147" t="s">
        <v>434</v>
      </c>
      <c r="C951" s="147" t="s">
        <v>434</v>
      </c>
      <c r="D951" s="147" t="s">
        <v>1432</v>
      </c>
      <c r="E951" s="147" t="s">
        <v>574</v>
      </c>
      <c r="F951" s="155">
        <f>F952</f>
        <v>5570.5</v>
      </c>
      <c r="G951" s="155">
        <f>G952</f>
        <v>5570.5</v>
      </c>
      <c r="H951" s="158"/>
    </row>
    <row r="952" spans="1:8" ht="36">
      <c r="A952" s="157" t="s">
        <v>1080</v>
      </c>
      <c r="B952" s="147" t="s">
        <v>434</v>
      </c>
      <c r="C952" s="147" t="s">
        <v>434</v>
      </c>
      <c r="D952" s="147" t="s">
        <v>1432</v>
      </c>
      <c r="E952" s="147" t="s">
        <v>574</v>
      </c>
      <c r="F952" s="158">
        <f>19000-13305-192-42.5+110</f>
        <v>5570.5</v>
      </c>
      <c r="G952" s="158">
        <f>F952</f>
        <v>5570.5</v>
      </c>
      <c r="H952" s="158"/>
    </row>
    <row r="953" spans="1:8" ht="24">
      <c r="A953" s="157" t="s">
        <v>561</v>
      </c>
      <c r="B953" s="147" t="s">
        <v>434</v>
      </c>
      <c r="C953" s="147" t="s">
        <v>434</v>
      </c>
      <c r="D953" s="147" t="s">
        <v>1432</v>
      </c>
      <c r="E953" s="147" t="s">
        <v>1126</v>
      </c>
      <c r="F953" s="279">
        <f>F954</f>
        <v>10179.5</v>
      </c>
      <c r="G953" s="279">
        <f>G954</f>
        <v>10179.5</v>
      </c>
      <c r="H953" s="158"/>
    </row>
    <row r="954" spans="1:8" ht="36">
      <c r="A954" s="157" t="s">
        <v>1080</v>
      </c>
      <c r="B954" s="147" t="s">
        <v>434</v>
      </c>
      <c r="C954" s="147" t="s">
        <v>434</v>
      </c>
      <c r="D954" s="147" t="s">
        <v>1432</v>
      </c>
      <c r="E954" s="147" t="s">
        <v>1126</v>
      </c>
      <c r="F954" s="158">
        <f>10505+192+42.5-560</f>
        <v>10179.5</v>
      </c>
      <c r="G954" s="158">
        <f>F954</f>
        <v>10179.5</v>
      </c>
      <c r="H954" s="158"/>
    </row>
    <row r="955" spans="1:8" ht="36">
      <c r="A955" s="164" t="s">
        <v>1319</v>
      </c>
      <c r="B955" s="147" t="s">
        <v>434</v>
      </c>
      <c r="C955" s="147" t="s">
        <v>434</v>
      </c>
      <c r="D955" s="147" t="s">
        <v>739</v>
      </c>
      <c r="E955" s="147"/>
      <c r="F955" s="155">
        <f>F956+F962</f>
        <v>36595</v>
      </c>
      <c r="G955" s="155">
        <f>F955-H955</f>
        <v>36595</v>
      </c>
      <c r="H955" s="158"/>
    </row>
    <row r="956" spans="1:8" ht="24">
      <c r="A956" s="157" t="s">
        <v>1320</v>
      </c>
      <c r="B956" s="147" t="s">
        <v>434</v>
      </c>
      <c r="C956" s="147" t="s">
        <v>434</v>
      </c>
      <c r="D956" s="147" t="s">
        <v>740</v>
      </c>
      <c r="E956" s="147"/>
      <c r="F956" s="155">
        <f>F959</f>
        <v>33595</v>
      </c>
      <c r="G956" s="155">
        <f>F956-H956</f>
        <v>33595</v>
      </c>
      <c r="H956" s="158"/>
    </row>
    <row r="957" spans="1:8" ht="36">
      <c r="A957" s="157" t="s">
        <v>738</v>
      </c>
      <c r="B957" s="147" t="s">
        <v>434</v>
      </c>
      <c r="C957" s="147" t="s">
        <v>434</v>
      </c>
      <c r="D957" s="147" t="s">
        <v>741</v>
      </c>
      <c r="E957" s="147"/>
      <c r="F957" s="155">
        <f>F958</f>
        <v>33595</v>
      </c>
      <c r="G957" s="155">
        <f>G958</f>
        <v>33595</v>
      </c>
      <c r="H957" s="158"/>
    </row>
    <row r="958" spans="1:8" ht="36">
      <c r="A958" s="152" t="s">
        <v>490</v>
      </c>
      <c r="B958" s="147" t="s">
        <v>434</v>
      </c>
      <c r="C958" s="147" t="s">
        <v>434</v>
      </c>
      <c r="D958" s="147" t="s">
        <v>741</v>
      </c>
      <c r="E958" s="147" t="s">
        <v>489</v>
      </c>
      <c r="F958" s="155">
        <f>F959</f>
        <v>33595</v>
      </c>
      <c r="G958" s="155">
        <f>F958-H958</f>
        <v>33595</v>
      </c>
      <c r="H958" s="158"/>
    </row>
    <row r="959" spans="1:8" ht="24">
      <c r="A959" s="157" t="s">
        <v>491</v>
      </c>
      <c r="B959" s="147" t="s">
        <v>434</v>
      </c>
      <c r="C959" s="147" t="s">
        <v>434</v>
      </c>
      <c r="D959" s="147" t="s">
        <v>741</v>
      </c>
      <c r="E959" s="147" t="s">
        <v>574</v>
      </c>
      <c r="F959" s="158">
        <f>32929-73+50-220+F960+F961</f>
        <v>33595</v>
      </c>
      <c r="G959" s="158">
        <f>F959-H959</f>
        <v>33595</v>
      </c>
      <c r="H959" s="158"/>
    </row>
    <row r="960" spans="1:8" ht="24">
      <c r="A960" s="157" t="s">
        <v>1748</v>
      </c>
      <c r="B960" s="147" t="s">
        <v>434</v>
      </c>
      <c r="C960" s="147" t="s">
        <v>434</v>
      </c>
      <c r="D960" s="147" t="s">
        <v>741</v>
      </c>
      <c r="E960" s="147" t="s">
        <v>574</v>
      </c>
      <c r="F960" s="158">
        <v>502</v>
      </c>
      <c r="G960" s="158">
        <f>F960</f>
        <v>502</v>
      </c>
      <c r="H960" s="158"/>
    </row>
    <row r="961" spans="1:8" ht="48">
      <c r="A961" s="157" t="s">
        <v>1775</v>
      </c>
      <c r="B961" s="147" t="s">
        <v>434</v>
      </c>
      <c r="C961" s="147" t="s">
        <v>434</v>
      </c>
      <c r="D961" s="147" t="s">
        <v>741</v>
      </c>
      <c r="E961" s="147" t="s">
        <v>574</v>
      </c>
      <c r="F961" s="158">
        <v>407</v>
      </c>
      <c r="G961" s="158">
        <f>F961</f>
        <v>407</v>
      </c>
      <c r="H961" s="158"/>
    </row>
    <row r="962" spans="1:8" ht="36">
      <c r="A962" s="157" t="s">
        <v>742</v>
      </c>
      <c r="B962" s="147" t="s">
        <v>434</v>
      </c>
      <c r="C962" s="147" t="s">
        <v>434</v>
      </c>
      <c r="D962" s="147" t="s">
        <v>743</v>
      </c>
      <c r="E962" s="147"/>
      <c r="F962" s="155">
        <f aca="true" t="shared" si="58" ref="F962:G964">F963</f>
        <v>3000</v>
      </c>
      <c r="G962" s="155">
        <f t="shared" si="58"/>
        <v>3000</v>
      </c>
      <c r="H962" s="158"/>
    </row>
    <row r="963" spans="1:8" ht="36">
      <c r="A963" s="152" t="s">
        <v>490</v>
      </c>
      <c r="B963" s="147" t="s">
        <v>434</v>
      </c>
      <c r="C963" s="147" t="s">
        <v>434</v>
      </c>
      <c r="D963" s="147" t="s">
        <v>743</v>
      </c>
      <c r="E963" s="147" t="s">
        <v>489</v>
      </c>
      <c r="F963" s="155">
        <f t="shared" si="58"/>
        <v>3000</v>
      </c>
      <c r="G963" s="155">
        <f t="shared" si="58"/>
        <v>3000</v>
      </c>
      <c r="H963" s="158"/>
    </row>
    <row r="964" spans="1:8" ht="24">
      <c r="A964" s="157" t="s">
        <v>491</v>
      </c>
      <c r="B964" s="147" t="s">
        <v>434</v>
      </c>
      <c r="C964" s="147" t="s">
        <v>434</v>
      </c>
      <c r="D964" s="147" t="s">
        <v>743</v>
      </c>
      <c r="E964" s="147" t="s">
        <v>574</v>
      </c>
      <c r="F964" s="155">
        <f t="shared" si="58"/>
        <v>3000</v>
      </c>
      <c r="G964" s="155">
        <f t="shared" si="58"/>
        <v>3000</v>
      </c>
      <c r="H964" s="158"/>
    </row>
    <row r="965" spans="1:8" ht="36">
      <c r="A965" s="157" t="s">
        <v>522</v>
      </c>
      <c r="B965" s="147" t="s">
        <v>434</v>
      </c>
      <c r="C965" s="147" t="s">
        <v>434</v>
      </c>
      <c r="D965" s="147" t="s">
        <v>743</v>
      </c>
      <c r="E965" s="147" t="s">
        <v>574</v>
      </c>
      <c r="F965" s="161">
        <v>3000</v>
      </c>
      <c r="G965" s="158">
        <f>F965</f>
        <v>3000</v>
      </c>
      <c r="H965" s="158"/>
    </row>
    <row r="966" spans="1:8" ht="15">
      <c r="A966" s="190" t="s">
        <v>991</v>
      </c>
      <c r="B966" s="147" t="s">
        <v>434</v>
      </c>
      <c r="C966" s="147" t="s">
        <v>435</v>
      </c>
      <c r="D966" s="147"/>
      <c r="E966" s="147"/>
      <c r="F966" s="155">
        <f>F967</f>
        <v>126950</v>
      </c>
      <c r="G966" s="155">
        <f>G967</f>
        <v>124634</v>
      </c>
      <c r="H966" s="155">
        <f>H967</f>
        <v>2316</v>
      </c>
    </row>
    <row r="967" spans="1:8" ht="36">
      <c r="A967" s="164" t="s">
        <v>1416</v>
      </c>
      <c r="B967" s="147" t="s">
        <v>434</v>
      </c>
      <c r="C967" s="147" t="s">
        <v>435</v>
      </c>
      <c r="D967" s="147" t="s">
        <v>3</v>
      </c>
      <c r="E967" s="147"/>
      <c r="F967" s="155">
        <f>F968+F973</f>
        <v>126950</v>
      </c>
      <c r="G967" s="155">
        <f>G968+G973</f>
        <v>124634</v>
      </c>
      <c r="H967" s="155">
        <f>H968+H973</f>
        <v>2316</v>
      </c>
    </row>
    <row r="968" spans="1:8" ht="15">
      <c r="A968" s="157" t="s">
        <v>1749</v>
      </c>
      <c r="B968" s="150" t="s">
        <v>434</v>
      </c>
      <c r="C968" s="150" t="s">
        <v>435</v>
      </c>
      <c r="D968" s="150" t="s">
        <v>8</v>
      </c>
      <c r="E968" s="150"/>
      <c r="F968" s="155">
        <f>F969</f>
        <v>2316</v>
      </c>
      <c r="G968" s="257"/>
      <c r="H968" s="155">
        <f>F968</f>
        <v>2316</v>
      </c>
    </row>
    <row r="969" spans="1:8" ht="48">
      <c r="A969" s="157" t="s">
        <v>7</v>
      </c>
      <c r="B969" s="150" t="s">
        <v>434</v>
      </c>
      <c r="C969" s="150" t="s">
        <v>435</v>
      </c>
      <c r="D969" s="150" t="s">
        <v>9</v>
      </c>
      <c r="E969" s="150"/>
      <c r="F969" s="155">
        <f>F970</f>
        <v>2316</v>
      </c>
      <c r="G969" s="155">
        <f>G970</f>
        <v>0</v>
      </c>
      <c r="H969" s="155">
        <f>H970</f>
        <v>2316</v>
      </c>
    </row>
    <row r="970" spans="1:8" ht="72">
      <c r="A970" s="191" t="s">
        <v>648</v>
      </c>
      <c r="B970" s="150" t="s">
        <v>434</v>
      </c>
      <c r="C970" s="150" t="s">
        <v>435</v>
      </c>
      <c r="D970" s="150" t="s">
        <v>10</v>
      </c>
      <c r="E970" s="150"/>
      <c r="F970" s="155">
        <f>F971</f>
        <v>2316</v>
      </c>
      <c r="G970" s="155">
        <f>G971</f>
        <v>0</v>
      </c>
      <c r="H970" s="155">
        <f>F970</f>
        <v>2316</v>
      </c>
    </row>
    <row r="971" spans="1:8" ht="36">
      <c r="A971" s="152" t="s">
        <v>490</v>
      </c>
      <c r="B971" s="150" t="s">
        <v>434</v>
      </c>
      <c r="C971" s="150" t="s">
        <v>435</v>
      </c>
      <c r="D971" s="150" t="s">
        <v>10</v>
      </c>
      <c r="E971" s="150" t="s">
        <v>489</v>
      </c>
      <c r="F971" s="155">
        <f>F972</f>
        <v>2316</v>
      </c>
      <c r="G971" s="155">
        <f>G972</f>
        <v>0</v>
      </c>
      <c r="H971" s="155">
        <f>F971</f>
        <v>2316</v>
      </c>
    </row>
    <row r="972" spans="1:8" ht="15">
      <c r="A972" s="157" t="s">
        <v>573</v>
      </c>
      <c r="B972" s="150" t="s">
        <v>434</v>
      </c>
      <c r="C972" s="150" t="s">
        <v>435</v>
      </c>
      <c r="D972" s="150" t="s">
        <v>10</v>
      </c>
      <c r="E972" s="150" t="s">
        <v>574</v>
      </c>
      <c r="F972" s="158">
        <f>2316</f>
        <v>2316</v>
      </c>
      <c r="G972" s="257">
        <f>F972-H972</f>
        <v>0</v>
      </c>
      <c r="H972" s="155">
        <f>F972</f>
        <v>2316</v>
      </c>
    </row>
    <row r="973" spans="1:8" ht="15">
      <c r="A973" s="157" t="s">
        <v>1747</v>
      </c>
      <c r="B973" s="147" t="s">
        <v>434</v>
      </c>
      <c r="C973" s="147" t="s">
        <v>435</v>
      </c>
      <c r="D973" s="147" t="s">
        <v>804</v>
      </c>
      <c r="E973" s="147"/>
      <c r="F973" s="155">
        <f>F974+F982+F988</f>
        <v>124634</v>
      </c>
      <c r="G973" s="155">
        <f>G974+G982+G988</f>
        <v>124634</v>
      </c>
      <c r="H973" s="155">
        <f>H974+H982+H988</f>
        <v>0</v>
      </c>
    </row>
    <row r="974" spans="1:8" ht="48">
      <c r="A974" s="157" t="s">
        <v>295</v>
      </c>
      <c r="B974" s="147" t="s">
        <v>808</v>
      </c>
      <c r="C974" s="147" t="s">
        <v>435</v>
      </c>
      <c r="D974" s="147" t="s">
        <v>296</v>
      </c>
      <c r="E974" s="147"/>
      <c r="F974" s="155">
        <f>F975</f>
        <v>32394</v>
      </c>
      <c r="G974" s="155">
        <f>G975</f>
        <v>32394</v>
      </c>
      <c r="H974" s="155">
        <f>H975</f>
        <v>0</v>
      </c>
    </row>
    <row r="975" spans="1:8" ht="24">
      <c r="A975" s="157" t="s">
        <v>191</v>
      </c>
      <c r="B975" s="147" t="s">
        <v>808</v>
      </c>
      <c r="C975" s="147" t="s">
        <v>435</v>
      </c>
      <c r="D975" s="147" t="s">
        <v>297</v>
      </c>
      <c r="E975" s="147"/>
      <c r="F975" s="155">
        <f>F976+F978+F980</f>
        <v>32394</v>
      </c>
      <c r="G975" s="155">
        <f>G976+G978+G980</f>
        <v>32394</v>
      </c>
      <c r="H975" s="155">
        <f>H976+H978+H980</f>
        <v>0</v>
      </c>
    </row>
    <row r="976" spans="1:8" ht="72">
      <c r="A976" s="153" t="s">
        <v>1065</v>
      </c>
      <c r="B976" s="147" t="s">
        <v>434</v>
      </c>
      <c r="C976" s="147" t="s">
        <v>435</v>
      </c>
      <c r="D976" s="147" t="s">
        <v>297</v>
      </c>
      <c r="E976" s="147" t="s">
        <v>960</v>
      </c>
      <c r="F976" s="155">
        <f>F977</f>
        <v>27020</v>
      </c>
      <c r="G976" s="155">
        <f>G977</f>
        <v>27020</v>
      </c>
      <c r="H976" s="155">
        <f>H977</f>
        <v>0</v>
      </c>
    </row>
    <row r="977" spans="1:8" ht="46.5" customHeight="1">
      <c r="A977" s="152" t="s">
        <v>515</v>
      </c>
      <c r="B977" s="147" t="s">
        <v>434</v>
      </c>
      <c r="C977" s="147" t="s">
        <v>435</v>
      </c>
      <c r="D977" s="147" t="s">
        <v>297</v>
      </c>
      <c r="E977" s="147" t="s">
        <v>115</v>
      </c>
      <c r="F977" s="158">
        <f>27000+20</f>
        <v>27020</v>
      </c>
      <c r="G977" s="257">
        <f>F977-H977</f>
        <v>27020</v>
      </c>
      <c r="H977" s="155"/>
    </row>
    <row r="978" spans="1:8" ht="24">
      <c r="A978" s="153" t="s">
        <v>1066</v>
      </c>
      <c r="B978" s="147" t="s">
        <v>434</v>
      </c>
      <c r="C978" s="147" t="s">
        <v>435</v>
      </c>
      <c r="D978" s="147" t="s">
        <v>297</v>
      </c>
      <c r="E978" s="147" t="s">
        <v>529</v>
      </c>
      <c r="F978" s="155">
        <f>F979</f>
        <v>5311</v>
      </c>
      <c r="G978" s="155">
        <f>G979</f>
        <v>5311</v>
      </c>
      <c r="H978" s="155">
        <f>H979</f>
        <v>0</v>
      </c>
    </row>
    <row r="979" spans="1:8" ht="24">
      <c r="A979" s="153" t="s">
        <v>974</v>
      </c>
      <c r="B979" s="147" t="s">
        <v>434</v>
      </c>
      <c r="C979" s="147" t="s">
        <v>435</v>
      </c>
      <c r="D979" s="147" t="s">
        <v>297</v>
      </c>
      <c r="E979" s="147" t="s">
        <v>429</v>
      </c>
      <c r="F979" s="158">
        <f>5331-20</f>
        <v>5311</v>
      </c>
      <c r="G979" s="257">
        <f>F979-H979</f>
        <v>5311</v>
      </c>
      <c r="H979" s="155"/>
    </row>
    <row r="980" spans="1:8" ht="15">
      <c r="A980" s="153" t="s">
        <v>985</v>
      </c>
      <c r="B980" s="147" t="s">
        <v>434</v>
      </c>
      <c r="C980" s="147" t="s">
        <v>435</v>
      </c>
      <c r="D980" s="147" t="s">
        <v>297</v>
      </c>
      <c r="E980" s="147" t="s">
        <v>986</v>
      </c>
      <c r="F980" s="155">
        <f>F981</f>
        <v>63</v>
      </c>
      <c r="G980" s="155">
        <f>G981</f>
        <v>63</v>
      </c>
      <c r="H980" s="155">
        <f>H981</f>
        <v>0</v>
      </c>
    </row>
    <row r="981" spans="1:8" ht="15">
      <c r="A981" s="153" t="s">
        <v>459</v>
      </c>
      <c r="B981" s="147" t="s">
        <v>434</v>
      </c>
      <c r="C981" s="147" t="s">
        <v>435</v>
      </c>
      <c r="D981" s="147" t="s">
        <v>297</v>
      </c>
      <c r="E981" s="147" t="s">
        <v>460</v>
      </c>
      <c r="F981" s="158">
        <f>58+5</f>
        <v>63</v>
      </c>
      <c r="G981" s="257">
        <f>F981-H981</f>
        <v>63</v>
      </c>
      <c r="H981" s="155"/>
    </row>
    <row r="982" spans="1:8" ht="60">
      <c r="A982" s="157" t="s">
        <v>313</v>
      </c>
      <c r="B982" s="150" t="s">
        <v>434</v>
      </c>
      <c r="C982" s="150" t="s">
        <v>435</v>
      </c>
      <c r="D982" s="150" t="s">
        <v>299</v>
      </c>
      <c r="E982" s="150"/>
      <c r="F982" s="155">
        <f>F983</f>
        <v>68510</v>
      </c>
      <c r="G982" s="155">
        <f aca="true" t="shared" si="59" ref="G982:H984">G983</f>
        <v>68510</v>
      </c>
      <c r="H982" s="155">
        <f t="shared" si="59"/>
        <v>0</v>
      </c>
    </row>
    <row r="983" spans="1:8" ht="24">
      <c r="A983" s="157" t="s">
        <v>483</v>
      </c>
      <c r="B983" s="150" t="s">
        <v>434</v>
      </c>
      <c r="C983" s="150" t="s">
        <v>435</v>
      </c>
      <c r="D983" s="150" t="s">
        <v>300</v>
      </c>
      <c r="E983" s="150"/>
      <c r="F983" s="155">
        <f>F984</f>
        <v>68510</v>
      </c>
      <c r="G983" s="155">
        <f t="shared" si="59"/>
        <v>68510</v>
      </c>
      <c r="H983" s="155">
        <f t="shared" si="59"/>
        <v>0</v>
      </c>
    </row>
    <row r="984" spans="1:8" ht="36">
      <c r="A984" s="152" t="s">
        <v>490</v>
      </c>
      <c r="B984" s="150" t="s">
        <v>434</v>
      </c>
      <c r="C984" s="150" t="s">
        <v>435</v>
      </c>
      <c r="D984" s="150" t="s">
        <v>300</v>
      </c>
      <c r="E984" s="150" t="s">
        <v>489</v>
      </c>
      <c r="F984" s="155">
        <f>F985</f>
        <v>68510</v>
      </c>
      <c r="G984" s="155">
        <f t="shared" si="59"/>
        <v>68510</v>
      </c>
      <c r="H984" s="155">
        <f t="shared" si="59"/>
        <v>0</v>
      </c>
    </row>
    <row r="985" spans="1:8" ht="24">
      <c r="A985" s="157" t="s">
        <v>491</v>
      </c>
      <c r="B985" s="150" t="s">
        <v>434</v>
      </c>
      <c r="C985" s="150" t="s">
        <v>435</v>
      </c>
      <c r="D985" s="150" t="s">
        <v>300</v>
      </c>
      <c r="E985" s="150" t="s">
        <v>574</v>
      </c>
      <c r="F985" s="158">
        <f>63230+F986+F987+1200</f>
        <v>68510</v>
      </c>
      <c r="G985" s="257">
        <f>F985-H985</f>
        <v>68510</v>
      </c>
      <c r="H985" s="155"/>
    </row>
    <row r="986" spans="1:8" ht="36">
      <c r="A986" s="157" t="s">
        <v>1321</v>
      </c>
      <c r="B986" s="150" t="s">
        <v>434</v>
      </c>
      <c r="C986" s="150" t="s">
        <v>435</v>
      </c>
      <c r="D986" s="150" t="s">
        <v>300</v>
      </c>
      <c r="E986" s="150" t="s">
        <v>574</v>
      </c>
      <c r="F986" s="158">
        <v>200</v>
      </c>
      <c r="G986" s="257">
        <f>F986</f>
        <v>200</v>
      </c>
      <c r="H986" s="155"/>
    </row>
    <row r="987" spans="1:8" ht="24">
      <c r="A987" s="157" t="s">
        <v>1322</v>
      </c>
      <c r="B987" s="150" t="s">
        <v>434</v>
      </c>
      <c r="C987" s="150" t="s">
        <v>435</v>
      </c>
      <c r="D987" s="150" t="s">
        <v>300</v>
      </c>
      <c r="E987" s="150" t="s">
        <v>574</v>
      </c>
      <c r="F987" s="158">
        <f>4300-420</f>
        <v>3880</v>
      </c>
      <c r="G987" s="257">
        <f>F987-H987</f>
        <v>3880</v>
      </c>
      <c r="H987" s="155"/>
    </row>
    <row r="988" spans="1:8" ht="72">
      <c r="A988" s="254" t="s">
        <v>219</v>
      </c>
      <c r="B988" s="150" t="s">
        <v>434</v>
      </c>
      <c r="C988" s="150" t="s">
        <v>435</v>
      </c>
      <c r="D988" s="150" t="s">
        <v>220</v>
      </c>
      <c r="E988" s="150"/>
      <c r="F988" s="155">
        <f>F989</f>
        <v>23730</v>
      </c>
      <c r="G988" s="155">
        <f aca="true" t="shared" si="60" ref="G988:H990">G989</f>
        <v>23730</v>
      </c>
      <c r="H988" s="155">
        <f t="shared" si="60"/>
        <v>0</v>
      </c>
    </row>
    <row r="989" spans="1:8" ht="24">
      <c r="A989" s="157" t="s">
        <v>483</v>
      </c>
      <c r="B989" s="150" t="s">
        <v>434</v>
      </c>
      <c r="C989" s="150" t="s">
        <v>435</v>
      </c>
      <c r="D989" s="150" t="s">
        <v>221</v>
      </c>
      <c r="E989" s="150"/>
      <c r="F989" s="155">
        <f>F990</f>
        <v>23730</v>
      </c>
      <c r="G989" s="155">
        <f t="shared" si="60"/>
        <v>23730</v>
      </c>
      <c r="H989" s="155">
        <f t="shared" si="60"/>
        <v>0</v>
      </c>
    </row>
    <row r="990" spans="1:8" ht="36">
      <c r="A990" s="152" t="s">
        <v>490</v>
      </c>
      <c r="B990" s="150" t="s">
        <v>434</v>
      </c>
      <c r="C990" s="150" t="s">
        <v>435</v>
      </c>
      <c r="D990" s="150" t="s">
        <v>221</v>
      </c>
      <c r="E990" s="150" t="s">
        <v>489</v>
      </c>
      <c r="F990" s="155">
        <f>F991</f>
        <v>23730</v>
      </c>
      <c r="G990" s="155">
        <f t="shared" si="60"/>
        <v>23730</v>
      </c>
      <c r="H990" s="155">
        <f t="shared" si="60"/>
        <v>0</v>
      </c>
    </row>
    <row r="991" spans="1:8" ht="24">
      <c r="A991" s="157" t="s">
        <v>561</v>
      </c>
      <c r="B991" s="150" t="s">
        <v>434</v>
      </c>
      <c r="C991" s="150" t="s">
        <v>435</v>
      </c>
      <c r="D991" s="150" t="s">
        <v>221</v>
      </c>
      <c r="E991" s="150" t="s">
        <v>1126</v>
      </c>
      <c r="F991" s="158">
        <f>22603+1000+500-670+F992+270</f>
        <v>23730</v>
      </c>
      <c r="G991" s="257">
        <f>F991-H991</f>
        <v>23730</v>
      </c>
      <c r="H991" s="158"/>
    </row>
    <row r="992" spans="1:8" ht="48">
      <c r="A992" s="157" t="s">
        <v>1750</v>
      </c>
      <c r="B992" s="150" t="s">
        <v>434</v>
      </c>
      <c r="C992" s="150" t="s">
        <v>435</v>
      </c>
      <c r="D992" s="150" t="s">
        <v>221</v>
      </c>
      <c r="E992" s="150" t="s">
        <v>1126</v>
      </c>
      <c r="F992" s="158">
        <v>27</v>
      </c>
      <c r="G992" s="257">
        <f>F992-H992</f>
        <v>27</v>
      </c>
      <c r="H992" s="158"/>
    </row>
    <row r="993" spans="1:8" ht="15">
      <c r="A993" s="166" t="s">
        <v>124</v>
      </c>
      <c r="B993" s="150" t="s">
        <v>1170</v>
      </c>
      <c r="C993" s="150" t="s">
        <v>430</v>
      </c>
      <c r="D993" s="150"/>
      <c r="E993" s="150"/>
      <c r="F993" s="155">
        <f>F994+F1099</f>
        <v>476394.3</v>
      </c>
      <c r="G993" s="155">
        <f>F993-H993</f>
        <v>476394.3</v>
      </c>
      <c r="H993" s="158"/>
    </row>
    <row r="994" spans="1:8" ht="15">
      <c r="A994" s="156" t="s">
        <v>408</v>
      </c>
      <c r="B994" s="147" t="s">
        <v>1170</v>
      </c>
      <c r="C994" s="147" t="s">
        <v>1145</v>
      </c>
      <c r="D994" s="147"/>
      <c r="E994" s="147"/>
      <c r="F994" s="155">
        <f>F995+F1082+F1089</f>
        <v>416826.3</v>
      </c>
      <c r="G994" s="155">
        <f>G995+G1082+G1089</f>
        <v>416826.3</v>
      </c>
      <c r="H994" s="155">
        <f>H995+H1082+H1089</f>
        <v>0</v>
      </c>
    </row>
    <row r="995" spans="1:8" ht="36">
      <c r="A995" s="181" t="s">
        <v>1323</v>
      </c>
      <c r="B995" s="147" t="s">
        <v>1170</v>
      </c>
      <c r="C995" s="147" t="s">
        <v>1145</v>
      </c>
      <c r="D995" s="147" t="s">
        <v>361</v>
      </c>
      <c r="E995" s="147"/>
      <c r="F995" s="155">
        <f>F996+F1006+F1013+F1023+F1033+F1044</f>
        <v>404426.3</v>
      </c>
      <c r="G995" s="155">
        <f>F995-H995</f>
        <v>404426.3</v>
      </c>
      <c r="H995" s="155"/>
    </row>
    <row r="996" spans="1:8" ht="24">
      <c r="A996" s="252" t="s">
        <v>1026</v>
      </c>
      <c r="B996" s="147" t="s">
        <v>1170</v>
      </c>
      <c r="C996" s="147" t="s">
        <v>1145</v>
      </c>
      <c r="D996" s="147" t="s">
        <v>1027</v>
      </c>
      <c r="E996" s="147"/>
      <c r="F996" s="155">
        <f>F997+F1000+F1004</f>
        <v>6633</v>
      </c>
      <c r="G996" s="155">
        <f>G997+G1000+G1004</f>
        <v>6633</v>
      </c>
      <c r="H996" s="155"/>
    </row>
    <row r="997" spans="1:8" ht="36">
      <c r="A997" s="312" t="s">
        <v>1762</v>
      </c>
      <c r="B997" s="147" t="s">
        <v>1170</v>
      </c>
      <c r="C997" s="147" t="s">
        <v>1145</v>
      </c>
      <c r="D997" s="147" t="s">
        <v>1763</v>
      </c>
      <c r="E997" s="147"/>
      <c r="F997" s="155">
        <f>F998</f>
        <v>44</v>
      </c>
      <c r="G997" s="155">
        <f>G998</f>
        <v>44</v>
      </c>
      <c r="H997" s="155"/>
    </row>
    <row r="998" spans="1:8" ht="36">
      <c r="A998" s="152" t="s">
        <v>490</v>
      </c>
      <c r="B998" s="147" t="s">
        <v>1170</v>
      </c>
      <c r="C998" s="147" t="s">
        <v>1145</v>
      </c>
      <c r="D998" s="147" t="s">
        <v>1763</v>
      </c>
      <c r="E998" s="147" t="s">
        <v>489</v>
      </c>
      <c r="F998" s="155">
        <f>F999</f>
        <v>44</v>
      </c>
      <c r="G998" s="155">
        <f>G999</f>
        <v>44</v>
      </c>
      <c r="H998" s="155"/>
    </row>
    <row r="999" spans="1:8" ht="15">
      <c r="A999" s="157" t="s">
        <v>371</v>
      </c>
      <c r="B999" s="147" t="s">
        <v>1170</v>
      </c>
      <c r="C999" s="147" t="s">
        <v>1145</v>
      </c>
      <c r="D999" s="147" t="s">
        <v>1763</v>
      </c>
      <c r="E999" s="147" t="s">
        <v>574</v>
      </c>
      <c r="F999" s="158">
        <v>44</v>
      </c>
      <c r="G999" s="155">
        <f>F999</f>
        <v>44</v>
      </c>
      <c r="H999" s="155"/>
    </row>
    <row r="1000" spans="1:8" ht="24">
      <c r="A1000" s="326" t="s">
        <v>1798</v>
      </c>
      <c r="B1000" s="147" t="s">
        <v>1170</v>
      </c>
      <c r="C1000" s="147" t="s">
        <v>1145</v>
      </c>
      <c r="D1000" s="147" t="s">
        <v>1801</v>
      </c>
      <c r="E1000" s="147"/>
      <c r="F1000" s="155">
        <f>F1001</f>
        <v>7</v>
      </c>
      <c r="G1000" s="155">
        <f>G1001</f>
        <v>7</v>
      </c>
      <c r="H1000" s="155"/>
    </row>
    <row r="1001" spans="1:8" ht="36">
      <c r="A1001" s="152" t="s">
        <v>490</v>
      </c>
      <c r="B1001" s="147" t="s">
        <v>1170</v>
      </c>
      <c r="C1001" s="147" t="s">
        <v>1145</v>
      </c>
      <c r="D1001" s="147" t="s">
        <v>1801</v>
      </c>
      <c r="E1001" s="147" t="s">
        <v>489</v>
      </c>
      <c r="F1001" s="325">
        <f>F1002</f>
        <v>7</v>
      </c>
      <c r="G1001" s="155">
        <f>F1001-H1001</f>
        <v>7</v>
      </c>
      <c r="H1001" s="155"/>
    </row>
    <row r="1002" spans="1:8" ht="15">
      <c r="A1002" s="157" t="s">
        <v>371</v>
      </c>
      <c r="B1002" s="147" t="s">
        <v>1170</v>
      </c>
      <c r="C1002" s="147" t="s">
        <v>1145</v>
      </c>
      <c r="D1002" s="147" t="s">
        <v>1801</v>
      </c>
      <c r="E1002" s="147" t="s">
        <v>574</v>
      </c>
      <c r="F1002" s="158">
        <v>7</v>
      </c>
      <c r="G1002" s="155">
        <f>F1002-H1002</f>
        <v>7</v>
      </c>
      <c r="H1002" s="155"/>
    </row>
    <row r="1003" spans="1:8" ht="24">
      <c r="A1003" s="252" t="s">
        <v>1034</v>
      </c>
      <c r="B1003" s="147" t="s">
        <v>1170</v>
      </c>
      <c r="C1003" s="147" t="s">
        <v>1145</v>
      </c>
      <c r="D1003" s="147" t="s">
        <v>1174</v>
      </c>
      <c r="E1003" s="147"/>
      <c r="F1003" s="155">
        <f>F1004</f>
        <v>6582</v>
      </c>
      <c r="G1003" s="155">
        <f>G1004</f>
        <v>6582</v>
      </c>
      <c r="H1003" s="155"/>
    </row>
    <row r="1004" spans="1:8" ht="36">
      <c r="A1004" s="152" t="s">
        <v>490</v>
      </c>
      <c r="B1004" s="147" t="s">
        <v>1170</v>
      </c>
      <c r="C1004" s="147" t="s">
        <v>1145</v>
      </c>
      <c r="D1004" s="147" t="s">
        <v>1174</v>
      </c>
      <c r="E1004" s="147" t="s">
        <v>489</v>
      </c>
      <c r="F1004" s="279">
        <f>F1005</f>
        <v>6582</v>
      </c>
      <c r="G1004" s="155">
        <f>F1004-H1004</f>
        <v>6582</v>
      </c>
      <c r="H1004" s="155"/>
    </row>
    <row r="1005" spans="1:8" ht="15">
      <c r="A1005" s="157" t="s">
        <v>371</v>
      </c>
      <c r="B1005" s="147" t="s">
        <v>1170</v>
      </c>
      <c r="C1005" s="147" t="s">
        <v>1145</v>
      </c>
      <c r="D1005" s="147" t="s">
        <v>1174</v>
      </c>
      <c r="E1005" s="147" t="s">
        <v>574</v>
      </c>
      <c r="F1005" s="158">
        <f>6373+50-34+200-7</f>
        <v>6582</v>
      </c>
      <c r="G1005" s="155">
        <f>F1005-H1005</f>
        <v>6582</v>
      </c>
      <c r="H1005" s="158"/>
    </row>
    <row r="1006" spans="1:8" ht="36">
      <c r="A1006" s="157" t="s">
        <v>1028</v>
      </c>
      <c r="B1006" s="147" t="s">
        <v>1170</v>
      </c>
      <c r="C1006" s="147" t="s">
        <v>1145</v>
      </c>
      <c r="D1006" s="147" t="s">
        <v>1029</v>
      </c>
      <c r="E1006" s="147"/>
      <c r="F1006" s="155">
        <f>F1008</f>
        <v>12936.6</v>
      </c>
      <c r="G1006" s="155">
        <f>G1008</f>
        <v>12936.6</v>
      </c>
      <c r="H1006" s="158"/>
    </row>
    <row r="1007" spans="1:8" ht="24">
      <c r="A1007" s="157" t="s">
        <v>1035</v>
      </c>
      <c r="B1007" s="147" t="s">
        <v>1170</v>
      </c>
      <c r="C1007" s="147" t="s">
        <v>1145</v>
      </c>
      <c r="D1007" s="147" t="s">
        <v>1031</v>
      </c>
      <c r="E1007" s="147"/>
      <c r="F1007" s="155">
        <f>F1008</f>
        <v>12936.6</v>
      </c>
      <c r="G1007" s="155">
        <f>G1008</f>
        <v>12936.6</v>
      </c>
      <c r="H1007" s="158"/>
    </row>
    <row r="1008" spans="1:8" ht="36">
      <c r="A1008" s="152" t="s">
        <v>490</v>
      </c>
      <c r="B1008" s="147" t="s">
        <v>1170</v>
      </c>
      <c r="C1008" s="147" t="s">
        <v>1145</v>
      </c>
      <c r="D1008" s="147" t="s">
        <v>1031</v>
      </c>
      <c r="E1008" s="147" t="s">
        <v>489</v>
      </c>
      <c r="F1008" s="155">
        <f>F1009+F1011</f>
        <v>12936.6</v>
      </c>
      <c r="G1008" s="155">
        <f>F1008-H1008</f>
        <v>12936.6</v>
      </c>
      <c r="H1008" s="155"/>
    </row>
    <row r="1009" spans="1:8" ht="24">
      <c r="A1009" s="157" t="s">
        <v>491</v>
      </c>
      <c r="B1009" s="147" t="s">
        <v>1170</v>
      </c>
      <c r="C1009" s="147" t="s">
        <v>1145</v>
      </c>
      <c r="D1009" s="147" t="s">
        <v>1031</v>
      </c>
      <c r="E1009" s="147" t="s">
        <v>574</v>
      </c>
      <c r="F1009" s="158">
        <f>F1010</f>
        <v>12540</v>
      </c>
      <c r="G1009" s="155">
        <f>F1009-H1009</f>
        <v>12540</v>
      </c>
      <c r="H1009" s="158"/>
    </row>
    <row r="1010" spans="1:8" ht="36">
      <c r="A1010" s="157" t="s">
        <v>1613</v>
      </c>
      <c r="B1010" s="147" t="s">
        <v>1170</v>
      </c>
      <c r="C1010" s="147" t="s">
        <v>1145</v>
      </c>
      <c r="D1010" s="147" t="s">
        <v>1031</v>
      </c>
      <c r="E1010" s="147" t="s">
        <v>574</v>
      </c>
      <c r="F1010" s="158">
        <f>5000+7600-100-50+90</f>
        <v>12540</v>
      </c>
      <c r="G1010" s="155">
        <f>F1010-H1010</f>
        <v>12540</v>
      </c>
      <c r="H1010" s="158"/>
    </row>
    <row r="1011" spans="1:8" ht="24">
      <c r="A1011" s="157" t="s">
        <v>561</v>
      </c>
      <c r="B1011" s="147" t="s">
        <v>1170</v>
      </c>
      <c r="C1011" s="147" t="s">
        <v>1145</v>
      </c>
      <c r="D1011" s="147" t="s">
        <v>1031</v>
      </c>
      <c r="E1011" s="147" t="s">
        <v>1126</v>
      </c>
      <c r="F1011" s="158">
        <f>F1012</f>
        <v>396.6</v>
      </c>
      <c r="G1011" s="155">
        <f>F1011-H1011</f>
        <v>396.6</v>
      </c>
      <c r="H1011" s="158"/>
    </row>
    <row r="1012" spans="1:8" ht="36">
      <c r="A1012" s="157" t="s">
        <v>1614</v>
      </c>
      <c r="B1012" s="147" t="s">
        <v>1170</v>
      </c>
      <c r="C1012" s="147" t="s">
        <v>1145</v>
      </c>
      <c r="D1012" s="147" t="s">
        <v>1031</v>
      </c>
      <c r="E1012" s="147" t="s">
        <v>1126</v>
      </c>
      <c r="F1012" s="158">
        <f>100+50+246.6</f>
        <v>396.6</v>
      </c>
      <c r="G1012" s="155">
        <f>F1012-H1012</f>
        <v>396.6</v>
      </c>
      <c r="H1012" s="158"/>
    </row>
    <row r="1013" spans="1:8" ht="36">
      <c r="A1013" s="157" t="s">
        <v>1030</v>
      </c>
      <c r="B1013" s="147" t="s">
        <v>1170</v>
      </c>
      <c r="C1013" s="147" t="s">
        <v>1145</v>
      </c>
      <c r="D1013" s="147" t="s">
        <v>1033</v>
      </c>
      <c r="E1013" s="147"/>
      <c r="F1013" s="155">
        <f>F1014+F1017+F1021</f>
        <v>232053</v>
      </c>
      <c r="G1013" s="155">
        <f>G1014+G1017+G1021</f>
        <v>232053</v>
      </c>
      <c r="H1013" s="158"/>
    </row>
    <row r="1014" spans="1:8" ht="36">
      <c r="A1014" s="326" t="s">
        <v>1762</v>
      </c>
      <c r="B1014" s="147" t="s">
        <v>1170</v>
      </c>
      <c r="C1014" s="147" t="s">
        <v>1145</v>
      </c>
      <c r="D1014" s="147" t="s">
        <v>1764</v>
      </c>
      <c r="E1014" s="147"/>
      <c r="F1014" s="155">
        <f>F1015</f>
        <v>2254</v>
      </c>
      <c r="G1014" s="155">
        <f>G1015</f>
        <v>2254</v>
      </c>
      <c r="H1014" s="155"/>
    </row>
    <row r="1015" spans="1:8" ht="36">
      <c r="A1015" s="152" t="s">
        <v>490</v>
      </c>
      <c r="B1015" s="147" t="s">
        <v>1170</v>
      </c>
      <c r="C1015" s="147" t="s">
        <v>1145</v>
      </c>
      <c r="D1015" s="147" t="s">
        <v>1764</v>
      </c>
      <c r="E1015" s="147" t="s">
        <v>489</v>
      </c>
      <c r="F1015" s="155">
        <f>F1016</f>
        <v>2254</v>
      </c>
      <c r="G1015" s="155">
        <f>G1016</f>
        <v>2254</v>
      </c>
      <c r="H1015" s="155"/>
    </row>
    <row r="1016" spans="1:8" ht="15">
      <c r="A1016" s="157" t="s">
        <v>371</v>
      </c>
      <c r="B1016" s="147" t="s">
        <v>1170</v>
      </c>
      <c r="C1016" s="147" t="s">
        <v>1145</v>
      </c>
      <c r="D1016" s="147" t="s">
        <v>1764</v>
      </c>
      <c r="E1016" s="147" t="s">
        <v>574</v>
      </c>
      <c r="F1016" s="158">
        <v>2254</v>
      </c>
      <c r="G1016" s="155">
        <f>F1016</f>
        <v>2254</v>
      </c>
      <c r="H1016" s="155"/>
    </row>
    <row r="1017" spans="1:8" ht="24">
      <c r="A1017" s="326" t="s">
        <v>1798</v>
      </c>
      <c r="B1017" s="147" t="s">
        <v>1170</v>
      </c>
      <c r="C1017" s="147" t="s">
        <v>1145</v>
      </c>
      <c r="D1017" s="147" t="s">
        <v>1799</v>
      </c>
      <c r="E1017" s="147"/>
      <c r="F1017" s="155">
        <f>F1018</f>
        <v>338</v>
      </c>
      <c r="G1017" s="155">
        <f>G1018</f>
        <v>338</v>
      </c>
      <c r="H1017" s="155"/>
    </row>
    <row r="1018" spans="1:8" ht="36">
      <c r="A1018" s="152" t="s">
        <v>490</v>
      </c>
      <c r="B1018" s="147" t="s">
        <v>1170</v>
      </c>
      <c r="C1018" s="147" t="s">
        <v>1145</v>
      </c>
      <c r="D1018" s="147" t="s">
        <v>1799</v>
      </c>
      <c r="E1018" s="147" t="s">
        <v>489</v>
      </c>
      <c r="F1018" s="155">
        <f>F1019</f>
        <v>338</v>
      </c>
      <c r="G1018" s="155">
        <f>G1019</f>
        <v>338</v>
      </c>
      <c r="H1018" s="155"/>
    </row>
    <row r="1019" spans="1:8" ht="15">
      <c r="A1019" s="157" t="s">
        <v>371</v>
      </c>
      <c r="B1019" s="147" t="s">
        <v>1170</v>
      </c>
      <c r="C1019" s="147" t="s">
        <v>1145</v>
      </c>
      <c r="D1019" s="147" t="s">
        <v>1799</v>
      </c>
      <c r="E1019" s="147" t="s">
        <v>574</v>
      </c>
      <c r="F1019" s="158">
        <v>338</v>
      </c>
      <c r="G1019" s="155">
        <f>F1019</f>
        <v>338</v>
      </c>
      <c r="H1019" s="155"/>
    </row>
    <row r="1020" spans="1:8" ht="24">
      <c r="A1020" s="157" t="s">
        <v>1036</v>
      </c>
      <c r="B1020" s="147" t="s">
        <v>1170</v>
      </c>
      <c r="C1020" s="147" t="s">
        <v>1145</v>
      </c>
      <c r="D1020" s="147" t="s">
        <v>1032</v>
      </c>
      <c r="E1020" s="147"/>
      <c r="F1020" s="155">
        <f>F1021</f>
        <v>229461</v>
      </c>
      <c r="G1020" s="155">
        <f>G1021</f>
        <v>229461</v>
      </c>
      <c r="H1020" s="158"/>
    </row>
    <row r="1021" spans="1:8" ht="36">
      <c r="A1021" s="152" t="s">
        <v>490</v>
      </c>
      <c r="B1021" s="147" t="s">
        <v>1170</v>
      </c>
      <c r="C1021" s="147" t="s">
        <v>1145</v>
      </c>
      <c r="D1021" s="147" t="s">
        <v>1032</v>
      </c>
      <c r="E1021" s="147" t="s">
        <v>489</v>
      </c>
      <c r="F1021" s="155">
        <f>F1022</f>
        <v>229461</v>
      </c>
      <c r="G1021" s="155">
        <f>G1022</f>
        <v>229461</v>
      </c>
      <c r="H1021" s="158"/>
    </row>
    <row r="1022" spans="1:8" ht="15">
      <c r="A1022" s="157" t="s">
        <v>371</v>
      </c>
      <c r="B1022" s="147" t="s">
        <v>1170</v>
      </c>
      <c r="C1022" s="147" t="s">
        <v>1145</v>
      </c>
      <c r="D1022" s="147" t="s">
        <v>1032</v>
      </c>
      <c r="E1022" s="147" t="s">
        <v>574</v>
      </c>
      <c r="F1022" s="158">
        <f>224698-200+1000-1534+90+5745-338</f>
        <v>229461</v>
      </c>
      <c r="G1022" s="155">
        <f>F1022</f>
        <v>229461</v>
      </c>
      <c r="H1022" s="158"/>
    </row>
    <row r="1023" spans="1:8" ht="40.5" customHeight="1">
      <c r="A1023" s="157" t="s">
        <v>350</v>
      </c>
      <c r="B1023" s="147" t="s">
        <v>1170</v>
      </c>
      <c r="C1023" s="147" t="s">
        <v>1145</v>
      </c>
      <c r="D1023" s="147" t="s">
        <v>1176</v>
      </c>
      <c r="E1023" s="147"/>
      <c r="F1023" s="155">
        <f>F1024+F1027+F1030</f>
        <v>46473.7</v>
      </c>
      <c r="G1023" s="155">
        <f>G1024+G1027+G1030</f>
        <v>46473.7</v>
      </c>
      <c r="H1023" s="158"/>
    </row>
    <row r="1024" spans="1:8" ht="36">
      <c r="A1024" s="326" t="s">
        <v>1762</v>
      </c>
      <c r="B1024" s="147" t="s">
        <v>1170</v>
      </c>
      <c r="C1024" s="147" t="s">
        <v>1145</v>
      </c>
      <c r="D1024" s="147" t="s">
        <v>1765</v>
      </c>
      <c r="E1024" s="147"/>
      <c r="F1024" s="155">
        <f>F1025</f>
        <v>407</v>
      </c>
      <c r="G1024" s="155">
        <f>G1025</f>
        <v>407</v>
      </c>
      <c r="H1024" s="158"/>
    </row>
    <row r="1025" spans="1:8" ht="36">
      <c r="A1025" s="152" t="s">
        <v>490</v>
      </c>
      <c r="B1025" s="147" t="s">
        <v>1170</v>
      </c>
      <c r="C1025" s="147" t="s">
        <v>1145</v>
      </c>
      <c r="D1025" s="147" t="s">
        <v>1765</v>
      </c>
      <c r="E1025" s="147" t="s">
        <v>489</v>
      </c>
      <c r="F1025" s="155">
        <f>F1026</f>
        <v>407</v>
      </c>
      <c r="G1025" s="155">
        <f>G1026</f>
        <v>407</v>
      </c>
      <c r="H1025" s="158"/>
    </row>
    <row r="1026" spans="1:8" ht="15">
      <c r="A1026" s="157" t="s">
        <v>1125</v>
      </c>
      <c r="B1026" s="147" t="s">
        <v>1170</v>
      </c>
      <c r="C1026" s="147" t="s">
        <v>1145</v>
      </c>
      <c r="D1026" s="147" t="s">
        <v>1765</v>
      </c>
      <c r="E1026" s="147" t="s">
        <v>1126</v>
      </c>
      <c r="F1026" s="158">
        <v>407</v>
      </c>
      <c r="G1026" s="155">
        <f>F1026</f>
        <v>407</v>
      </c>
      <c r="H1026" s="158"/>
    </row>
    <row r="1027" spans="1:8" ht="24">
      <c r="A1027" s="326" t="s">
        <v>1798</v>
      </c>
      <c r="B1027" s="147" t="s">
        <v>1170</v>
      </c>
      <c r="C1027" s="147" t="s">
        <v>1145</v>
      </c>
      <c r="D1027" s="147" t="s">
        <v>1802</v>
      </c>
      <c r="E1027" s="147"/>
      <c r="F1027" s="155">
        <f>F1028</f>
        <v>61</v>
      </c>
      <c r="G1027" s="155">
        <f>G1028</f>
        <v>61</v>
      </c>
      <c r="H1027" s="158"/>
    </row>
    <row r="1028" spans="1:8" ht="36">
      <c r="A1028" s="152" t="s">
        <v>490</v>
      </c>
      <c r="B1028" s="147" t="s">
        <v>1170</v>
      </c>
      <c r="C1028" s="147" t="s">
        <v>1145</v>
      </c>
      <c r="D1028" s="147" t="s">
        <v>1802</v>
      </c>
      <c r="E1028" s="147" t="s">
        <v>489</v>
      </c>
      <c r="F1028" s="155">
        <f>F1029</f>
        <v>61</v>
      </c>
      <c r="G1028" s="155">
        <f>F1028-H1028</f>
        <v>61</v>
      </c>
      <c r="H1028" s="158"/>
    </row>
    <row r="1029" spans="1:8" ht="15">
      <c r="A1029" s="157" t="s">
        <v>1125</v>
      </c>
      <c r="B1029" s="147" t="s">
        <v>1170</v>
      </c>
      <c r="C1029" s="147" t="s">
        <v>1145</v>
      </c>
      <c r="D1029" s="147" t="s">
        <v>1802</v>
      </c>
      <c r="E1029" s="147" t="s">
        <v>1126</v>
      </c>
      <c r="F1029" s="158">
        <v>61</v>
      </c>
      <c r="G1029" s="155">
        <f>F1029-H1029</f>
        <v>61</v>
      </c>
      <c r="H1029" s="158"/>
    </row>
    <row r="1030" spans="1:8" ht="30" customHeight="1">
      <c r="A1030" s="157" t="s">
        <v>351</v>
      </c>
      <c r="B1030" s="147" t="s">
        <v>1170</v>
      </c>
      <c r="C1030" s="147" t="s">
        <v>1145</v>
      </c>
      <c r="D1030" s="147" t="s">
        <v>1175</v>
      </c>
      <c r="E1030" s="147"/>
      <c r="F1030" s="155">
        <f>F1031</f>
        <v>46005.7</v>
      </c>
      <c r="G1030" s="155">
        <f>G1031</f>
        <v>46005.7</v>
      </c>
      <c r="H1030" s="158"/>
    </row>
    <row r="1031" spans="1:8" ht="36">
      <c r="A1031" s="152" t="s">
        <v>490</v>
      </c>
      <c r="B1031" s="147" t="s">
        <v>1170</v>
      </c>
      <c r="C1031" s="147" t="s">
        <v>1145</v>
      </c>
      <c r="D1031" s="147" t="s">
        <v>1175</v>
      </c>
      <c r="E1031" s="147" t="s">
        <v>489</v>
      </c>
      <c r="F1031" s="155">
        <f>F1032</f>
        <v>46005.7</v>
      </c>
      <c r="G1031" s="155">
        <f>F1031-H1031</f>
        <v>46005.7</v>
      </c>
      <c r="H1031" s="155"/>
    </row>
    <row r="1032" spans="1:8" ht="24">
      <c r="A1032" s="157" t="s">
        <v>561</v>
      </c>
      <c r="B1032" s="147" t="s">
        <v>1170</v>
      </c>
      <c r="C1032" s="147" t="s">
        <v>1145</v>
      </c>
      <c r="D1032" s="147" t="s">
        <v>1175</v>
      </c>
      <c r="E1032" s="147" t="s">
        <v>1126</v>
      </c>
      <c r="F1032" s="158">
        <f>43571-249+545-1060.3+3000+260-61</f>
        <v>46005.7</v>
      </c>
      <c r="G1032" s="155">
        <f>F1032-H1032</f>
        <v>46005.7</v>
      </c>
      <c r="H1032" s="158"/>
    </row>
    <row r="1033" spans="1:8" ht="36">
      <c r="A1033" s="152" t="s">
        <v>1324</v>
      </c>
      <c r="B1033" s="147" t="s">
        <v>1170</v>
      </c>
      <c r="C1033" s="147" t="s">
        <v>1145</v>
      </c>
      <c r="D1033" s="147" t="s">
        <v>354</v>
      </c>
      <c r="E1033" s="147"/>
      <c r="F1033" s="155">
        <f>F1034</f>
        <v>61539.7</v>
      </c>
      <c r="G1033" s="155">
        <f>F1033-H1033</f>
        <v>61539.7</v>
      </c>
      <c r="H1033" s="155"/>
    </row>
    <row r="1034" spans="1:8" ht="48">
      <c r="A1034" s="152" t="s">
        <v>352</v>
      </c>
      <c r="B1034" s="147" t="s">
        <v>1170</v>
      </c>
      <c r="C1034" s="147" t="s">
        <v>1145</v>
      </c>
      <c r="D1034" s="147" t="s">
        <v>355</v>
      </c>
      <c r="E1034" s="147"/>
      <c r="F1034" s="155">
        <f>F1035+F1038+F1041</f>
        <v>61539.7</v>
      </c>
      <c r="G1034" s="155">
        <f>F1034-H1034</f>
        <v>61539.7</v>
      </c>
      <c r="H1034" s="155"/>
    </row>
    <row r="1035" spans="1:8" ht="36">
      <c r="A1035" s="326" t="s">
        <v>1762</v>
      </c>
      <c r="B1035" s="147" t="s">
        <v>1170</v>
      </c>
      <c r="C1035" s="147" t="s">
        <v>1145</v>
      </c>
      <c r="D1035" s="147" t="s">
        <v>1766</v>
      </c>
      <c r="E1035" s="147"/>
      <c r="F1035" s="155">
        <f>F1036</f>
        <v>498</v>
      </c>
      <c r="G1035" s="155">
        <f>G1036</f>
        <v>498</v>
      </c>
      <c r="H1035" s="155"/>
    </row>
    <row r="1036" spans="1:8" ht="36">
      <c r="A1036" s="152" t="s">
        <v>490</v>
      </c>
      <c r="B1036" s="147" t="s">
        <v>1170</v>
      </c>
      <c r="C1036" s="147" t="s">
        <v>1145</v>
      </c>
      <c r="D1036" s="147" t="s">
        <v>1766</v>
      </c>
      <c r="E1036" s="147" t="s">
        <v>489</v>
      </c>
      <c r="F1036" s="155">
        <f>F1037</f>
        <v>498</v>
      </c>
      <c r="G1036" s="155">
        <f>G1037</f>
        <v>498</v>
      </c>
      <c r="H1036" s="155"/>
    </row>
    <row r="1037" spans="1:8" ht="15">
      <c r="A1037" s="157" t="s">
        <v>371</v>
      </c>
      <c r="B1037" s="147" t="s">
        <v>1170</v>
      </c>
      <c r="C1037" s="147" t="s">
        <v>1145</v>
      </c>
      <c r="D1037" s="147" t="s">
        <v>1766</v>
      </c>
      <c r="E1037" s="147" t="s">
        <v>574</v>
      </c>
      <c r="F1037" s="158">
        <v>498</v>
      </c>
      <c r="G1037" s="155">
        <f>F1037</f>
        <v>498</v>
      </c>
      <c r="H1037" s="155"/>
    </row>
    <row r="1038" spans="1:8" ht="24">
      <c r="A1038" s="326" t="s">
        <v>1798</v>
      </c>
      <c r="B1038" s="147" t="s">
        <v>1170</v>
      </c>
      <c r="C1038" s="147" t="s">
        <v>1145</v>
      </c>
      <c r="D1038" s="147" t="s">
        <v>1800</v>
      </c>
      <c r="E1038" s="147"/>
      <c r="F1038" s="325">
        <f>F1039</f>
        <v>75</v>
      </c>
      <c r="G1038" s="155">
        <f>G1039</f>
        <v>75</v>
      </c>
      <c r="H1038" s="155"/>
    </row>
    <row r="1039" spans="1:8" ht="36">
      <c r="A1039" s="152" t="s">
        <v>490</v>
      </c>
      <c r="B1039" s="147" t="s">
        <v>1170</v>
      </c>
      <c r="C1039" s="147" t="s">
        <v>1145</v>
      </c>
      <c r="D1039" s="147" t="s">
        <v>1800</v>
      </c>
      <c r="E1039" s="147" t="s">
        <v>489</v>
      </c>
      <c r="F1039" s="325">
        <f>F1040</f>
        <v>75</v>
      </c>
      <c r="G1039" s="155">
        <f>F1039-H1039</f>
        <v>75</v>
      </c>
      <c r="H1039" s="155"/>
    </row>
    <row r="1040" spans="1:8" ht="15">
      <c r="A1040" s="157" t="s">
        <v>371</v>
      </c>
      <c r="B1040" s="147" t="s">
        <v>1170</v>
      </c>
      <c r="C1040" s="147" t="s">
        <v>1145</v>
      </c>
      <c r="D1040" s="147" t="s">
        <v>1800</v>
      </c>
      <c r="E1040" s="147" t="s">
        <v>574</v>
      </c>
      <c r="F1040" s="158">
        <v>75</v>
      </c>
      <c r="G1040" s="155">
        <f>F1040-H1040</f>
        <v>75</v>
      </c>
      <c r="H1040" s="155"/>
    </row>
    <row r="1041" spans="1:8" ht="36">
      <c r="A1041" s="152" t="s">
        <v>353</v>
      </c>
      <c r="B1041" s="147" t="s">
        <v>1170</v>
      </c>
      <c r="C1041" s="147" t="s">
        <v>1145</v>
      </c>
      <c r="D1041" s="147" t="s">
        <v>356</v>
      </c>
      <c r="E1041" s="147"/>
      <c r="F1041" s="279">
        <f>F1042</f>
        <v>60966.7</v>
      </c>
      <c r="G1041" s="155">
        <f>G1042</f>
        <v>60966.7</v>
      </c>
      <c r="H1041" s="155"/>
    </row>
    <row r="1042" spans="1:8" ht="36">
      <c r="A1042" s="152" t="s">
        <v>490</v>
      </c>
      <c r="B1042" s="147" t="s">
        <v>1170</v>
      </c>
      <c r="C1042" s="147" t="s">
        <v>1145</v>
      </c>
      <c r="D1042" s="147" t="s">
        <v>356</v>
      </c>
      <c r="E1042" s="147" t="s">
        <v>489</v>
      </c>
      <c r="F1042" s="279">
        <f>F1043</f>
        <v>60966.7</v>
      </c>
      <c r="G1042" s="155">
        <f>F1042-H1042</f>
        <v>60966.7</v>
      </c>
      <c r="H1042" s="155"/>
    </row>
    <row r="1043" spans="1:8" ht="15">
      <c r="A1043" s="157" t="s">
        <v>371</v>
      </c>
      <c r="B1043" s="147" t="s">
        <v>1170</v>
      </c>
      <c r="C1043" s="147" t="s">
        <v>1145</v>
      </c>
      <c r="D1043" s="147" t="s">
        <v>356</v>
      </c>
      <c r="E1043" s="147" t="s">
        <v>574</v>
      </c>
      <c r="F1043" s="158">
        <f>61322-260+400-399-21.3-75</f>
        <v>60966.7</v>
      </c>
      <c r="G1043" s="155">
        <f>F1043-H1043</f>
        <v>60966.7</v>
      </c>
      <c r="H1043" s="158"/>
    </row>
    <row r="1044" spans="1:8" ht="48">
      <c r="A1044" s="157" t="s">
        <v>1325</v>
      </c>
      <c r="B1044" s="147" t="s">
        <v>1170</v>
      </c>
      <c r="C1044" s="147" t="s">
        <v>1145</v>
      </c>
      <c r="D1044" s="147" t="s">
        <v>1037</v>
      </c>
      <c r="E1044" s="147"/>
      <c r="F1044" s="155">
        <f>F1045+F1052+F1061+F1079</f>
        <v>44790.3</v>
      </c>
      <c r="G1044" s="155">
        <f>F1044-H1044</f>
        <v>44790.3</v>
      </c>
      <c r="H1044" s="158"/>
    </row>
    <row r="1045" spans="1:8" ht="36">
      <c r="A1045" s="152" t="s">
        <v>357</v>
      </c>
      <c r="B1045" s="147" t="s">
        <v>1170</v>
      </c>
      <c r="C1045" s="147" t="s">
        <v>1145</v>
      </c>
      <c r="D1045" s="147" t="s">
        <v>1038</v>
      </c>
      <c r="E1045" s="147"/>
      <c r="F1045" s="155">
        <f aca="true" t="shared" si="61" ref="F1045:G1048">F1046</f>
        <v>3275</v>
      </c>
      <c r="G1045" s="155">
        <f t="shared" si="61"/>
        <v>2700</v>
      </c>
      <c r="H1045" s="158"/>
    </row>
    <row r="1046" spans="1:8" ht="24">
      <c r="A1046" s="157" t="s">
        <v>360</v>
      </c>
      <c r="B1046" s="147" t="s">
        <v>1170</v>
      </c>
      <c r="C1046" s="147" t="s">
        <v>1145</v>
      </c>
      <c r="D1046" s="147" t="s">
        <v>1039</v>
      </c>
      <c r="E1046" s="147"/>
      <c r="F1046" s="155">
        <f t="shared" si="61"/>
        <v>3275</v>
      </c>
      <c r="G1046" s="155">
        <f t="shared" si="61"/>
        <v>2700</v>
      </c>
      <c r="H1046" s="158"/>
    </row>
    <row r="1047" spans="1:8" ht="36">
      <c r="A1047" s="152" t="s">
        <v>490</v>
      </c>
      <c r="B1047" s="147" t="s">
        <v>1170</v>
      </c>
      <c r="C1047" s="147" t="s">
        <v>1145</v>
      </c>
      <c r="D1047" s="147" t="s">
        <v>1039</v>
      </c>
      <c r="E1047" s="147" t="s">
        <v>489</v>
      </c>
      <c r="F1047" s="155">
        <f>F1048+F1050</f>
        <v>3275</v>
      </c>
      <c r="G1047" s="155">
        <f t="shared" si="61"/>
        <v>2700</v>
      </c>
      <c r="H1047" s="158"/>
    </row>
    <row r="1048" spans="1:8" ht="24">
      <c r="A1048" s="157" t="s">
        <v>491</v>
      </c>
      <c r="B1048" s="147" t="s">
        <v>1170</v>
      </c>
      <c r="C1048" s="147" t="s">
        <v>1145</v>
      </c>
      <c r="D1048" s="147" t="s">
        <v>1039</v>
      </c>
      <c r="E1048" s="147" t="s">
        <v>574</v>
      </c>
      <c r="F1048" s="155">
        <f t="shared" si="61"/>
        <v>2700</v>
      </c>
      <c r="G1048" s="155">
        <f t="shared" si="61"/>
        <v>2700</v>
      </c>
      <c r="H1048" s="158"/>
    </row>
    <row r="1049" spans="1:8" ht="36">
      <c r="A1049" s="157" t="s">
        <v>1615</v>
      </c>
      <c r="B1049" s="147" t="s">
        <v>1170</v>
      </c>
      <c r="C1049" s="147" t="s">
        <v>1145</v>
      </c>
      <c r="D1049" s="147" t="s">
        <v>1039</v>
      </c>
      <c r="E1049" s="147" t="s">
        <v>574</v>
      </c>
      <c r="F1049" s="158">
        <v>2700</v>
      </c>
      <c r="G1049" s="158">
        <f aca="true" t="shared" si="62" ref="G1049:G1054">F1049</f>
        <v>2700</v>
      </c>
      <c r="H1049" s="158"/>
    </row>
    <row r="1050" spans="1:8" ht="24">
      <c r="A1050" s="157" t="s">
        <v>561</v>
      </c>
      <c r="B1050" s="147" t="s">
        <v>1170</v>
      </c>
      <c r="C1050" s="147" t="s">
        <v>1145</v>
      </c>
      <c r="D1050" s="147" t="s">
        <v>1039</v>
      </c>
      <c r="E1050" s="147" t="s">
        <v>1126</v>
      </c>
      <c r="F1050" s="306">
        <f>F1051</f>
        <v>575</v>
      </c>
      <c r="G1050" s="279">
        <f t="shared" si="62"/>
        <v>575</v>
      </c>
      <c r="H1050" s="158"/>
    </row>
    <row r="1051" spans="1:8" ht="48">
      <c r="A1051" s="157" t="s">
        <v>1691</v>
      </c>
      <c r="B1051" s="147" t="s">
        <v>1170</v>
      </c>
      <c r="C1051" s="147" t="s">
        <v>1145</v>
      </c>
      <c r="D1051" s="147" t="s">
        <v>1039</v>
      </c>
      <c r="E1051" s="147" t="s">
        <v>1126</v>
      </c>
      <c r="F1051" s="158">
        <v>575</v>
      </c>
      <c r="G1051" s="158">
        <f t="shared" si="62"/>
        <v>575</v>
      </c>
      <c r="H1051" s="158"/>
    </row>
    <row r="1052" spans="1:8" ht="24">
      <c r="A1052" s="152" t="s">
        <v>951</v>
      </c>
      <c r="B1052" s="147" t="s">
        <v>1170</v>
      </c>
      <c r="C1052" s="147" t="s">
        <v>1145</v>
      </c>
      <c r="D1052" s="147" t="s">
        <v>1040</v>
      </c>
      <c r="E1052" s="147"/>
      <c r="F1052" s="279">
        <f>F1053</f>
        <v>2675.3</v>
      </c>
      <c r="G1052" s="279">
        <f t="shared" si="62"/>
        <v>2675.3</v>
      </c>
      <c r="H1052" s="158"/>
    </row>
    <row r="1053" spans="1:8" ht="24">
      <c r="A1053" s="157" t="s">
        <v>952</v>
      </c>
      <c r="B1053" s="147" t="s">
        <v>1170</v>
      </c>
      <c r="C1053" s="147" t="s">
        <v>1145</v>
      </c>
      <c r="D1053" s="147" t="s">
        <v>1041</v>
      </c>
      <c r="E1053" s="147"/>
      <c r="F1053" s="279">
        <f>F1054</f>
        <v>2675.3</v>
      </c>
      <c r="G1053" s="279">
        <f t="shared" si="62"/>
        <v>2675.3</v>
      </c>
      <c r="H1053" s="158"/>
    </row>
    <row r="1054" spans="1:8" ht="36">
      <c r="A1054" s="152" t="s">
        <v>490</v>
      </c>
      <c r="B1054" s="147" t="s">
        <v>1170</v>
      </c>
      <c r="C1054" s="147" t="s">
        <v>1145</v>
      </c>
      <c r="D1054" s="147" t="s">
        <v>1041</v>
      </c>
      <c r="E1054" s="147" t="s">
        <v>489</v>
      </c>
      <c r="F1054" s="279">
        <f>F1055+F1058</f>
        <v>2675.3</v>
      </c>
      <c r="G1054" s="279">
        <f t="shared" si="62"/>
        <v>2675.3</v>
      </c>
      <c r="H1054" s="158"/>
    </row>
    <row r="1055" spans="1:8" ht="24">
      <c r="A1055" s="157" t="s">
        <v>491</v>
      </c>
      <c r="B1055" s="147" t="s">
        <v>1170</v>
      </c>
      <c r="C1055" s="147" t="s">
        <v>1145</v>
      </c>
      <c r="D1055" s="147" t="s">
        <v>1041</v>
      </c>
      <c r="E1055" s="147" t="s">
        <v>574</v>
      </c>
      <c r="F1055" s="279">
        <f>F1056++F1057</f>
        <v>1125</v>
      </c>
      <c r="G1055" s="279">
        <f>G1056</f>
        <v>165</v>
      </c>
      <c r="H1055" s="158"/>
    </row>
    <row r="1056" spans="1:8" ht="36">
      <c r="A1056" s="157" t="s">
        <v>1692</v>
      </c>
      <c r="B1056" s="147" t="s">
        <v>1170</v>
      </c>
      <c r="C1056" s="147" t="s">
        <v>1145</v>
      </c>
      <c r="D1056" s="147" t="s">
        <v>1041</v>
      </c>
      <c r="E1056" s="147" t="s">
        <v>574</v>
      </c>
      <c r="F1056" s="158">
        <f>152+13</f>
        <v>165</v>
      </c>
      <c r="G1056" s="158">
        <f aca="true" t="shared" si="63" ref="G1056:G1061">F1056</f>
        <v>165</v>
      </c>
      <c r="H1056" s="158"/>
    </row>
    <row r="1057" spans="1:8" ht="24">
      <c r="A1057" s="157" t="s">
        <v>1761</v>
      </c>
      <c r="B1057" s="147" t="s">
        <v>1170</v>
      </c>
      <c r="C1057" s="147" t="s">
        <v>1145</v>
      </c>
      <c r="D1057" s="147" t="s">
        <v>1041</v>
      </c>
      <c r="E1057" s="147" t="s">
        <v>574</v>
      </c>
      <c r="F1057" s="158">
        <v>960</v>
      </c>
      <c r="G1057" s="158">
        <f>F1057</f>
        <v>960</v>
      </c>
      <c r="H1057" s="158"/>
    </row>
    <row r="1058" spans="1:8" ht="21" customHeight="1">
      <c r="A1058" s="157" t="s">
        <v>561</v>
      </c>
      <c r="B1058" s="147" t="s">
        <v>1170</v>
      </c>
      <c r="C1058" s="147" t="s">
        <v>1145</v>
      </c>
      <c r="D1058" s="147" t="s">
        <v>1041</v>
      </c>
      <c r="E1058" s="147" t="s">
        <v>1126</v>
      </c>
      <c r="F1058" s="279">
        <f>F1059+F1060</f>
        <v>1550.3</v>
      </c>
      <c r="G1058" s="279">
        <f t="shared" si="63"/>
        <v>1550.3</v>
      </c>
      <c r="H1058" s="158"/>
    </row>
    <row r="1059" spans="1:8" ht="45" customHeight="1">
      <c r="A1059" s="157" t="s">
        <v>1693</v>
      </c>
      <c r="B1059" s="147" t="s">
        <v>1170</v>
      </c>
      <c r="C1059" s="147" t="s">
        <v>1145</v>
      </c>
      <c r="D1059" s="147" t="s">
        <v>1041</v>
      </c>
      <c r="E1059" s="147" t="s">
        <v>1126</v>
      </c>
      <c r="F1059" s="158">
        <v>490</v>
      </c>
      <c r="G1059" s="158">
        <f t="shared" si="63"/>
        <v>490</v>
      </c>
      <c r="H1059" s="158"/>
    </row>
    <row r="1060" spans="1:8" ht="36">
      <c r="A1060" s="157" t="s">
        <v>1716</v>
      </c>
      <c r="B1060" s="147" t="s">
        <v>1170</v>
      </c>
      <c r="C1060" s="147" t="s">
        <v>1145</v>
      </c>
      <c r="D1060" s="147" t="s">
        <v>1041</v>
      </c>
      <c r="E1060" s="147" t="s">
        <v>1126</v>
      </c>
      <c r="F1060" s="158">
        <f>387+673.3</f>
        <v>1060.3</v>
      </c>
      <c r="G1060" s="158">
        <f t="shared" si="63"/>
        <v>1060.3</v>
      </c>
      <c r="H1060" s="158"/>
    </row>
    <row r="1061" spans="1:8" ht="36">
      <c r="A1061" s="157" t="s">
        <v>1232</v>
      </c>
      <c r="B1061" s="147" t="s">
        <v>1170</v>
      </c>
      <c r="C1061" s="147" t="s">
        <v>1145</v>
      </c>
      <c r="D1061" s="147" t="s">
        <v>1233</v>
      </c>
      <c r="E1061" s="147"/>
      <c r="F1061" s="279">
        <f>F1062+F1070+F1066+F1075</f>
        <v>38840</v>
      </c>
      <c r="G1061" s="279">
        <f t="shared" si="63"/>
        <v>38840</v>
      </c>
      <c r="H1061" s="158"/>
    </row>
    <row r="1062" spans="1:8" ht="24">
      <c r="A1062" s="157" t="s">
        <v>1265</v>
      </c>
      <c r="B1062" s="147" t="s">
        <v>1170</v>
      </c>
      <c r="C1062" s="147" t="s">
        <v>1145</v>
      </c>
      <c r="D1062" s="147" t="s">
        <v>1751</v>
      </c>
      <c r="E1062" s="147"/>
      <c r="F1062" s="279">
        <f aca="true" t="shared" si="64" ref="F1062:G1064">F1063</f>
        <v>14000</v>
      </c>
      <c r="G1062" s="279">
        <f t="shared" si="64"/>
        <v>14000</v>
      </c>
      <c r="H1062" s="158"/>
    </row>
    <row r="1063" spans="1:8" ht="36">
      <c r="A1063" s="152" t="s">
        <v>490</v>
      </c>
      <c r="B1063" s="147" t="s">
        <v>1170</v>
      </c>
      <c r="C1063" s="147" t="s">
        <v>1145</v>
      </c>
      <c r="D1063" s="147" t="s">
        <v>1751</v>
      </c>
      <c r="E1063" s="147" t="s">
        <v>489</v>
      </c>
      <c r="F1063" s="279">
        <f t="shared" si="64"/>
        <v>14000</v>
      </c>
      <c r="G1063" s="279">
        <f t="shared" si="64"/>
        <v>14000</v>
      </c>
      <c r="H1063" s="158"/>
    </row>
    <row r="1064" spans="1:8" ht="21.75" customHeight="1">
      <c r="A1064" s="157" t="s">
        <v>561</v>
      </c>
      <c r="B1064" s="147" t="s">
        <v>1170</v>
      </c>
      <c r="C1064" s="147" t="s">
        <v>1145</v>
      </c>
      <c r="D1064" s="147" t="s">
        <v>1751</v>
      </c>
      <c r="E1064" s="147" t="s">
        <v>1126</v>
      </c>
      <c r="F1064" s="279">
        <f t="shared" si="64"/>
        <v>14000</v>
      </c>
      <c r="G1064" s="279">
        <f t="shared" si="64"/>
        <v>14000</v>
      </c>
      <c r="H1064" s="158"/>
    </row>
    <row r="1065" spans="1:8" ht="45.75" customHeight="1">
      <c r="A1065" s="157" t="s">
        <v>1572</v>
      </c>
      <c r="B1065" s="147" t="s">
        <v>1170</v>
      </c>
      <c r="C1065" s="147" t="s">
        <v>1145</v>
      </c>
      <c r="D1065" s="147" t="s">
        <v>1751</v>
      </c>
      <c r="E1065" s="147" t="s">
        <v>1126</v>
      </c>
      <c r="F1065" s="158">
        <v>14000</v>
      </c>
      <c r="G1065" s="158">
        <v>14000</v>
      </c>
      <c r="H1065" s="158"/>
    </row>
    <row r="1066" spans="1:8" ht="24">
      <c r="A1066" s="312" t="s">
        <v>1570</v>
      </c>
      <c r="B1066" s="147" t="s">
        <v>1170</v>
      </c>
      <c r="C1066" s="147" t="s">
        <v>1145</v>
      </c>
      <c r="D1066" s="147" t="s">
        <v>1571</v>
      </c>
      <c r="E1066" s="147"/>
      <c r="F1066" s="279">
        <f aca="true" t="shared" si="65" ref="F1066:G1068">F1067</f>
        <v>0</v>
      </c>
      <c r="G1066" s="279">
        <f t="shared" si="65"/>
        <v>0</v>
      </c>
      <c r="H1066" s="158"/>
    </row>
    <row r="1067" spans="1:8" ht="36">
      <c r="A1067" s="152" t="s">
        <v>490</v>
      </c>
      <c r="B1067" s="147" t="s">
        <v>1170</v>
      </c>
      <c r="C1067" s="147" t="s">
        <v>1145</v>
      </c>
      <c r="D1067" s="147" t="s">
        <v>1571</v>
      </c>
      <c r="E1067" s="147" t="s">
        <v>489</v>
      </c>
      <c r="F1067" s="279">
        <f t="shared" si="65"/>
        <v>0</v>
      </c>
      <c r="G1067" s="279">
        <f t="shared" si="65"/>
        <v>0</v>
      </c>
      <c r="H1067" s="158"/>
    </row>
    <row r="1068" spans="1:8" ht="24">
      <c r="A1068" s="157" t="s">
        <v>561</v>
      </c>
      <c r="B1068" s="147" t="s">
        <v>1170</v>
      </c>
      <c r="C1068" s="147" t="s">
        <v>1145</v>
      </c>
      <c r="D1068" s="147" t="s">
        <v>1571</v>
      </c>
      <c r="E1068" s="147" t="s">
        <v>1126</v>
      </c>
      <c r="F1068" s="279">
        <f t="shared" si="65"/>
        <v>0</v>
      </c>
      <c r="G1068" s="279">
        <f t="shared" si="65"/>
        <v>0</v>
      </c>
      <c r="H1068" s="158"/>
    </row>
    <row r="1069" spans="1:8" ht="24">
      <c r="A1069" s="157" t="s">
        <v>1572</v>
      </c>
      <c r="B1069" s="147" t="s">
        <v>1170</v>
      </c>
      <c r="C1069" s="147" t="s">
        <v>1145</v>
      </c>
      <c r="D1069" s="147" t="s">
        <v>1571</v>
      </c>
      <c r="E1069" s="147" t="s">
        <v>1126</v>
      </c>
      <c r="F1069" s="158">
        <f>10000-10000</f>
        <v>0</v>
      </c>
      <c r="G1069" s="279">
        <f aca="true" t="shared" si="66" ref="G1069:G1081">F1069</f>
        <v>0</v>
      </c>
      <c r="H1069" s="158"/>
    </row>
    <row r="1070" spans="1:8" ht="33.75" customHeight="1">
      <c r="A1070" s="157" t="s">
        <v>1234</v>
      </c>
      <c r="B1070" s="147" t="s">
        <v>1170</v>
      </c>
      <c r="C1070" s="147" t="s">
        <v>1145</v>
      </c>
      <c r="D1070" s="147" t="s">
        <v>1235</v>
      </c>
      <c r="E1070" s="147"/>
      <c r="F1070" s="279">
        <f>F1071</f>
        <v>14840</v>
      </c>
      <c r="G1070" s="279">
        <f t="shared" si="66"/>
        <v>14840</v>
      </c>
      <c r="H1070" s="158"/>
    </row>
    <row r="1071" spans="1:8" ht="36">
      <c r="A1071" s="152" t="s">
        <v>490</v>
      </c>
      <c r="B1071" s="147" t="s">
        <v>1170</v>
      </c>
      <c r="C1071" s="147" t="s">
        <v>1145</v>
      </c>
      <c r="D1071" s="147" t="s">
        <v>1235</v>
      </c>
      <c r="E1071" s="147" t="s">
        <v>489</v>
      </c>
      <c r="F1071" s="279">
        <f>F1072</f>
        <v>14840</v>
      </c>
      <c r="G1071" s="279">
        <f t="shared" si="66"/>
        <v>14840</v>
      </c>
      <c r="H1071" s="158"/>
    </row>
    <row r="1072" spans="1:8" ht="24">
      <c r="A1072" s="157" t="s">
        <v>561</v>
      </c>
      <c r="B1072" s="147" t="s">
        <v>1170</v>
      </c>
      <c r="C1072" s="147" t="s">
        <v>1145</v>
      </c>
      <c r="D1072" s="147" t="s">
        <v>1235</v>
      </c>
      <c r="E1072" s="147" t="s">
        <v>1126</v>
      </c>
      <c r="F1072" s="306">
        <f>F1073+F1074</f>
        <v>14840</v>
      </c>
      <c r="G1072" s="279">
        <f t="shared" si="66"/>
        <v>14840</v>
      </c>
      <c r="H1072" s="158"/>
    </row>
    <row r="1073" spans="1:8" ht="24">
      <c r="A1073" s="157" t="s">
        <v>1573</v>
      </c>
      <c r="B1073" s="147" t="s">
        <v>1170</v>
      </c>
      <c r="C1073" s="147" t="s">
        <v>1145</v>
      </c>
      <c r="D1073" s="147" t="s">
        <v>1235</v>
      </c>
      <c r="E1073" s="147" t="s">
        <v>1126</v>
      </c>
      <c r="F1073" s="158">
        <f>10000</f>
        <v>10000</v>
      </c>
      <c r="G1073" s="158">
        <f t="shared" si="66"/>
        <v>10000</v>
      </c>
      <c r="H1073" s="158"/>
    </row>
    <row r="1074" spans="1:8" ht="34.5" customHeight="1">
      <c r="A1074" s="157" t="s">
        <v>1752</v>
      </c>
      <c r="B1074" s="147" t="s">
        <v>1170</v>
      </c>
      <c r="C1074" s="147" t="s">
        <v>1145</v>
      </c>
      <c r="D1074" s="147" t="s">
        <v>1235</v>
      </c>
      <c r="E1074" s="147" t="s">
        <v>1126</v>
      </c>
      <c r="F1074" s="158">
        <v>4840</v>
      </c>
      <c r="G1074" s="158">
        <f t="shared" si="66"/>
        <v>4840</v>
      </c>
      <c r="H1074" s="158"/>
    </row>
    <row r="1075" spans="1:8" ht="72">
      <c r="A1075" s="157" t="s">
        <v>1717</v>
      </c>
      <c r="B1075" s="147" t="s">
        <v>1170</v>
      </c>
      <c r="C1075" s="147" t="s">
        <v>1145</v>
      </c>
      <c r="D1075" s="147" t="s">
        <v>1718</v>
      </c>
      <c r="E1075" s="147"/>
      <c r="F1075" s="279">
        <f>F1076</f>
        <v>10000</v>
      </c>
      <c r="G1075" s="279">
        <f t="shared" si="66"/>
        <v>10000</v>
      </c>
      <c r="H1075" s="158"/>
    </row>
    <row r="1076" spans="1:8" ht="36">
      <c r="A1076" s="152" t="s">
        <v>490</v>
      </c>
      <c r="B1076" s="147" t="s">
        <v>1170</v>
      </c>
      <c r="C1076" s="147" t="s">
        <v>1145</v>
      </c>
      <c r="D1076" s="147" t="s">
        <v>1718</v>
      </c>
      <c r="E1076" s="147" t="s">
        <v>489</v>
      </c>
      <c r="F1076" s="279">
        <f>F1077</f>
        <v>10000</v>
      </c>
      <c r="G1076" s="279">
        <f t="shared" si="66"/>
        <v>10000</v>
      </c>
      <c r="H1076" s="158"/>
    </row>
    <row r="1077" spans="1:8" ht="24">
      <c r="A1077" s="157" t="s">
        <v>561</v>
      </c>
      <c r="B1077" s="147" t="s">
        <v>1170</v>
      </c>
      <c r="C1077" s="147" t="s">
        <v>1145</v>
      </c>
      <c r="D1077" s="147" t="s">
        <v>1718</v>
      </c>
      <c r="E1077" s="147" t="s">
        <v>1126</v>
      </c>
      <c r="F1077" s="279">
        <f>F1078</f>
        <v>10000</v>
      </c>
      <c r="G1077" s="279">
        <f t="shared" si="66"/>
        <v>10000</v>
      </c>
      <c r="H1077" s="158"/>
    </row>
    <row r="1078" spans="1:8" ht="24">
      <c r="A1078" s="157" t="s">
        <v>1573</v>
      </c>
      <c r="B1078" s="147" t="s">
        <v>1170</v>
      </c>
      <c r="C1078" s="147" t="s">
        <v>1145</v>
      </c>
      <c r="D1078" s="147" t="s">
        <v>1718</v>
      </c>
      <c r="E1078" s="147" t="s">
        <v>1126</v>
      </c>
      <c r="F1078" s="158">
        <f>3400+6600</f>
        <v>10000</v>
      </c>
      <c r="G1078" s="279">
        <f t="shared" si="66"/>
        <v>10000</v>
      </c>
      <c r="H1078" s="158"/>
    </row>
    <row r="1079" spans="1:8" ht="48">
      <c r="A1079" s="157" t="s">
        <v>1616</v>
      </c>
      <c r="B1079" s="147" t="s">
        <v>1170</v>
      </c>
      <c r="C1079" s="147" t="s">
        <v>1145</v>
      </c>
      <c r="D1079" s="147" t="s">
        <v>1617</v>
      </c>
      <c r="E1079" s="147"/>
      <c r="F1079" s="306">
        <f>F1080</f>
        <v>0</v>
      </c>
      <c r="G1079" s="306">
        <f t="shared" si="66"/>
        <v>0</v>
      </c>
      <c r="H1079" s="158"/>
    </row>
    <row r="1080" spans="1:8" ht="21" customHeight="1">
      <c r="A1080" s="157" t="s">
        <v>1618</v>
      </c>
      <c r="B1080" s="147" t="s">
        <v>1170</v>
      </c>
      <c r="C1080" s="147" t="s">
        <v>1145</v>
      </c>
      <c r="D1080" s="147" t="s">
        <v>1619</v>
      </c>
      <c r="E1080" s="147" t="s">
        <v>1167</v>
      </c>
      <c r="F1080" s="306">
        <f>F1081</f>
        <v>0</v>
      </c>
      <c r="G1080" s="306">
        <f t="shared" si="66"/>
        <v>0</v>
      </c>
      <c r="H1080" s="158"/>
    </row>
    <row r="1081" spans="1:8" ht="48">
      <c r="A1081" s="157" t="s">
        <v>1753</v>
      </c>
      <c r="B1081" s="147" t="s">
        <v>1170</v>
      </c>
      <c r="C1081" s="147" t="s">
        <v>1145</v>
      </c>
      <c r="D1081" s="147" t="s">
        <v>1619</v>
      </c>
      <c r="E1081" s="147" t="s">
        <v>881</v>
      </c>
      <c r="F1081" s="158">
        <f>4840-4840</f>
        <v>0</v>
      </c>
      <c r="G1081" s="158">
        <f t="shared" si="66"/>
        <v>0</v>
      </c>
      <c r="H1081" s="158"/>
    </row>
    <row r="1082" spans="1:8" ht="36">
      <c r="A1082" s="164" t="s">
        <v>839</v>
      </c>
      <c r="B1082" s="147" t="s">
        <v>1170</v>
      </c>
      <c r="C1082" s="147" t="s">
        <v>1145</v>
      </c>
      <c r="D1082" s="147" t="s">
        <v>904</v>
      </c>
      <c r="E1082" s="147"/>
      <c r="F1082" s="155">
        <f aca="true" t="shared" si="67" ref="F1082:G1086">F1083</f>
        <v>1200</v>
      </c>
      <c r="G1082" s="155">
        <f t="shared" si="67"/>
        <v>1200</v>
      </c>
      <c r="H1082" s="158"/>
    </row>
    <row r="1083" spans="1:8" ht="48">
      <c r="A1083" s="157" t="s">
        <v>117</v>
      </c>
      <c r="B1083" s="147" t="s">
        <v>1170</v>
      </c>
      <c r="C1083" s="147" t="s">
        <v>1145</v>
      </c>
      <c r="D1083" s="147" t="s">
        <v>1061</v>
      </c>
      <c r="E1083" s="147"/>
      <c r="F1083" s="155">
        <f t="shared" si="67"/>
        <v>1200</v>
      </c>
      <c r="G1083" s="155">
        <f t="shared" si="67"/>
        <v>1200</v>
      </c>
      <c r="H1083" s="158"/>
    </row>
    <row r="1084" spans="1:8" ht="36">
      <c r="A1084" s="157" t="s">
        <v>1062</v>
      </c>
      <c r="B1084" s="147" t="s">
        <v>1170</v>
      </c>
      <c r="C1084" s="147" t="s">
        <v>1145</v>
      </c>
      <c r="D1084" s="147" t="s">
        <v>1063</v>
      </c>
      <c r="E1084" s="147"/>
      <c r="F1084" s="155">
        <f t="shared" si="67"/>
        <v>1200</v>
      </c>
      <c r="G1084" s="155">
        <f t="shared" si="67"/>
        <v>1200</v>
      </c>
      <c r="H1084" s="158"/>
    </row>
    <row r="1085" spans="1:8" ht="36">
      <c r="A1085" s="157" t="s">
        <v>275</v>
      </c>
      <c r="B1085" s="147" t="s">
        <v>1170</v>
      </c>
      <c r="C1085" s="147" t="s">
        <v>1145</v>
      </c>
      <c r="D1085" s="147" t="s">
        <v>1064</v>
      </c>
      <c r="E1085" s="147"/>
      <c r="F1085" s="155">
        <f t="shared" si="67"/>
        <v>1200</v>
      </c>
      <c r="G1085" s="155">
        <f t="shared" si="67"/>
        <v>1200</v>
      </c>
      <c r="H1085" s="158"/>
    </row>
    <row r="1086" spans="1:8" ht="36">
      <c r="A1086" s="152" t="s">
        <v>490</v>
      </c>
      <c r="B1086" s="147" t="s">
        <v>1170</v>
      </c>
      <c r="C1086" s="147" t="s">
        <v>1145</v>
      </c>
      <c r="D1086" s="147" t="s">
        <v>1064</v>
      </c>
      <c r="E1086" s="147" t="s">
        <v>489</v>
      </c>
      <c r="F1086" s="155">
        <f t="shared" si="67"/>
        <v>1200</v>
      </c>
      <c r="G1086" s="155">
        <f t="shared" si="67"/>
        <v>1200</v>
      </c>
      <c r="H1086" s="158"/>
    </row>
    <row r="1087" spans="1:8" ht="24">
      <c r="A1087" s="157" t="s">
        <v>491</v>
      </c>
      <c r="B1087" s="147" t="s">
        <v>1170</v>
      </c>
      <c r="C1087" s="147" t="s">
        <v>1145</v>
      </c>
      <c r="D1087" s="147" t="s">
        <v>1064</v>
      </c>
      <c r="E1087" s="147" t="s">
        <v>574</v>
      </c>
      <c r="F1087" s="158">
        <f>F1088</f>
        <v>1200</v>
      </c>
      <c r="G1087" s="155">
        <f>F1087</f>
        <v>1200</v>
      </c>
      <c r="H1087" s="158"/>
    </row>
    <row r="1088" spans="1:8" ht="24">
      <c r="A1088" s="157" t="s">
        <v>276</v>
      </c>
      <c r="B1088" s="147" t="s">
        <v>1170</v>
      </c>
      <c r="C1088" s="147" t="s">
        <v>1145</v>
      </c>
      <c r="D1088" s="147" t="s">
        <v>1064</v>
      </c>
      <c r="E1088" s="147" t="s">
        <v>574</v>
      </c>
      <c r="F1088" s="158">
        <v>1200</v>
      </c>
      <c r="G1088" s="155">
        <f>F1088</f>
        <v>1200</v>
      </c>
      <c r="H1088" s="158"/>
    </row>
    <row r="1089" spans="1:8" ht="36">
      <c r="A1089" s="157" t="s">
        <v>1078</v>
      </c>
      <c r="B1089" s="147" t="s">
        <v>1170</v>
      </c>
      <c r="C1089" s="147" t="s">
        <v>1145</v>
      </c>
      <c r="D1089" s="147" t="s">
        <v>1079</v>
      </c>
      <c r="E1089" s="147"/>
      <c r="F1089" s="279">
        <f>F1090</f>
        <v>11200</v>
      </c>
      <c r="G1089" s="155">
        <f aca="true" t="shared" si="68" ref="G1089:G1098">F1089</f>
        <v>11200</v>
      </c>
      <c r="H1089" s="158"/>
    </row>
    <row r="1090" spans="1:8" ht="36">
      <c r="A1090" s="152" t="s">
        <v>490</v>
      </c>
      <c r="B1090" s="147" t="s">
        <v>1170</v>
      </c>
      <c r="C1090" s="147" t="s">
        <v>1145</v>
      </c>
      <c r="D1090" s="147" t="s">
        <v>1079</v>
      </c>
      <c r="E1090" s="147" t="s">
        <v>489</v>
      </c>
      <c r="F1090" s="279">
        <f>F1091+F1097</f>
        <v>11200</v>
      </c>
      <c r="G1090" s="155">
        <f t="shared" si="68"/>
        <v>11200</v>
      </c>
      <c r="H1090" s="158"/>
    </row>
    <row r="1091" spans="1:8" ht="24">
      <c r="A1091" s="157" t="s">
        <v>491</v>
      </c>
      <c r="B1091" s="147" t="s">
        <v>1170</v>
      </c>
      <c r="C1091" s="147" t="s">
        <v>1145</v>
      </c>
      <c r="D1091" s="147" t="s">
        <v>1079</v>
      </c>
      <c r="E1091" s="147" t="s">
        <v>574</v>
      </c>
      <c r="F1091" s="279">
        <f>F1092+F1093+F1094+F1095+F1096</f>
        <v>10700</v>
      </c>
      <c r="G1091" s="155">
        <f t="shared" si="68"/>
        <v>10700</v>
      </c>
      <c r="H1091" s="158"/>
    </row>
    <row r="1092" spans="1:8" ht="72">
      <c r="A1092" s="157" t="s">
        <v>1694</v>
      </c>
      <c r="B1092" s="147" t="s">
        <v>1170</v>
      </c>
      <c r="C1092" s="147" t="s">
        <v>1145</v>
      </c>
      <c r="D1092" s="147" t="s">
        <v>1079</v>
      </c>
      <c r="E1092" s="147" t="s">
        <v>574</v>
      </c>
      <c r="F1092" s="158">
        <v>4400</v>
      </c>
      <c r="G1092" s="155">
        <f t="shared" si="68"/>
        <v>4400</v>
      </c>
      <c r="H1092" s="158"/>
    </row>
    <row r="1093" spans="1:8" ht="72">
      <c r="A1093" s="157" t="s">
        <v>1695</v>
      </c>
      <c r="B1093" s="147" t="s">
        <v>1170</v>
      </c>
      <c r="C1093" s="147" t="s">
        <v>1145</v>
      </c>
      <c r="D1093" s="147" t="s">
        <v>1079</v>
      </c>
      <c r="E1093" s="147" t="s">
        <v>574</v>
      </c>
      <c r="F1093" s="158">
        <v>3900</v>
      </c>
      <c r="G1093" s="155">
        <f t="shared" si="68"/>
        <v>3900</v>
      </c>
      <c r="H1093" s="158"/>
    </row>
    <row r="1094" spans="1:8" ht="72">
      <c r="A1094" s="157" t="s">
        <v>1696</v>
      </c>
      <c r="B1094" s="147" t="s">
        <v>1170</v>
      </c>
      <c r="C1094" s="147" t="s">
        <v>1145</v>
      </c>
      <c r="D1094" s="147" t="s">
        <v>1079</v>
      </c>
      <c r="E1094" s="147" t="s">
        <v>574</v>
      </c>
      <c r="F1094" s="158">
        <v>700</v>
      </c>
      <c r="G1094" s="155">
        <f t="shared" si="68"/>
        <v>700</v>
      </c>
      <c r="H1094" s="158"/>
    </row>
    <row r="1095" spans="1:8" ht="72">
      <c r="A1095" s="157" t="s">
        <v>1697</v>
      </c>
      <c r="B1095" s="147" t="s">
        <v>1170</v>
      </c>
      <c r="C1095" s="147" t="s">
        <v>1145</v>
      </c>
      <c r="D1095" s="147" t="s">
        <v>1079</v>
      </c>
      <c r="E1095" s="147" t="s">
        <v>574</v>
      </c>
      <c r="F1095" s="158">
        <v>1200</v>
      </c>
      <c r="G1095" s="155">
        <f t="shared" si="68"/>
        <v>1200</v>
      </c>
      <c r="H1095" s="158"/>
    </row>
    <row r="1096" spans="1:8" ht="42.75" customHeight="1">
      <c r="A1096" s="157" t="s">
        <v>1698</v>
      </c>
      <c r="B1096" s="147" t="s">
        <v>1170</v>
      </c>
      <c r="C1096" s="147" t="s">
        <v>1145</v>
      </c>
      <c r="D1096" s="147" t="s">
        <v>1079</v>
      </c>
      <c r="E1096" s="147" t="s">
        <v>574</v>
      </c>
      <c r="F1096" s="158">
        <v>500</v>
      </c>
      <c r="G1096" s="155">
        <f t="shared" si="68"/>
        <v>500</v>
      </c>
      <c r="H1096" s="158"/>
    </row>
    <row r="1097" spans="1:8" ht="24">
      <c r="A1097" s="157" t="s">
        <v>561</v>
      </c>
      <c r="B1097" s="147" t="s">
        <v>1170</v>
      </c>
      <c r="C1097" s="147" t="s">
        <v>1145</v>
      </c>
      <c r="D1097" s="147" t="s">
        <v>1079</v>
      </c>
      <c r="E1097" s="147" t="s">
        <v>1126</v>
      </c>
      <c r="F1097" s="279">
        <f>F1098</f>
        <v>500</v>
      </c>
      <c r="G1097" s="155">
        <f t="shared" si="68"/>
        <v>500</v>
      </c>
      <c r="H1097" s="158"/>
    </row>
    <row r="1098" spans="1:8" ht="72">
      <c r="A1098" s="157" t="s">
        <v>1699</v>
      </c>
      <c r="B1098" s="147" t="s">
        <v>1170</v>
      </c>
      <c r="C1098" s="147" t="s">
        <v>1145</v>
      </c>
      <c r="D1098" s="147" t="s">
        <v>1079</v>
      </c>
      <c r="E1098" s="147" t="s">
        <v>1126</v>
      </c>
      <c r="F1098" s="158">
        <v>500</v>
      </c>
      <c r="G1098" s="155">
        <f t="shared" si="68"/>
        <v>500</v>
      </c>
      <c r="H1098" s="158"/>
    </row>
    <row r="1099" spans="1:8" ht="22.5">
      <c r="A1099" s="156" t="s">
        <v>780</v>
      </c>
      <c r="B1099" s="147" t="s">
        <v>1170</v>
      </c>
      <c r="C1099" s="147" t="s">
        <v>936</v>
      </c>
      <c r="D1099" s="147"/>
      <c r="E1099" s="147"/>
      <c r="F1099" s="155">
        <f>F1100</f>
        <v>59568</v>
      </c>
      <c r="G1099" s="155">
        <f>G1100</f>
        <v>59568</v>
      </c>
      <c r="H1099" s="158"/>
    </row>
    <row r="1100" spans="1:8" ht="36">
      <c r="A1100" s="181" t="s">
        <v>1326</v>
      </c>
      <c r="B1100" s="147" t="s">
        <v>1170</v>
      </c>
      <c r="C1100" s="147" t="s">
        <v>936</v>
      </c>
      <c r="D1100" s="147" t="s">
        <v>361</v>
      </c>
      <c r="E1100" s="147"/>
      <c r="F1100" s="155">
        <f>F1101+F1107</f>
        <v>59568</v>
      </c>
      <c r="G1100" s="155">
        <f>G1101+G1107</f>
        <v>59568</v>
      </c>
      <c r="H1100" s="158"/>
    </row>
    <row r="1101" spans="1:8" ht="48">
      <c r="A1101" s="152" t="s">
        <v>1325</v>
      </c>
      <c r="B1101" s="147" t="s">
        <v>1170</v>
      </c>
      <c r="C1101" s="147" t="s">
        <v>936</v>
      </c>
      <c r="D1101" s="147" t="s">
        <v>1037</v>
      </c>
      <c r="E1101" s="147"/>
      <c r="F1101" s="155">
        <f>F1102</f>
        <v>10</v>
      </c>
      <c r="G1101" s="155">
        <f aca="true" t="shared" si="69" ref="G1101:G1106">F1101</f>
        <v>10</v>
      </c>
      <c r="H1101" s="158"/>
    </row>
    <row r="1102" spans="1:8" ht="24">
      <c r="A1102" s="152" t="s">
        <v>951</v>
      </c>
      <c r="B1102" s="147" t="s">
        <v>1170</v>
      </c>
      <c r="C1102" s="147" t="s">
        <v>936</v>
      </c>
      <c r="D1102" s="147" t="s">
        <v>1040</v>
      </c>
      <c r="E1102" s="147"/>
      <c r="F1102" s="155">
        <f>F1103</f>
        <v>10</v>
      </c>
      <c r="G1102" s="155">
        <f t="shared" si="69"/>
        <v>10</v>
      </c>
      <c r="H1102" s="158"/>
    </row>
    <row r="1103" spans="1:8" ht="24">
      <c r="A1103" s="157" t="s">
        <v>952</v>
      </c>
      <c r="B1103" s="147" t="s">
        <v>1170</v>
      </c>
      <c r="C1103" s="147" t="s">
        <v>936</v>
      </c>
      <c r="D1103" s="147" t="s">
        <v>1041</v>
      </c>
      <c r="E1103" s="147"/>
      <c r="F1103" s="155">
        <f>F1104</f>
        <v>10</v>
      </c>
      <c r="G1103" s="155">
        <f t="shared" si="69"/>
        <v>10</v>
      </c>
      <c r="H1103" s="158"/>
    </row>
    <row r="1104" spans="1:8" ht="36">
      <c r="A1104" s="152" t="s">
        <v>490</v>
      </c>
      <c r="B1104" s="147" t="s">
        <v>1170</v>
      </c>
      <c r="C1104" s="147" t="s">
        <v>936</v>
      </c>
      <c r="D1104" s="147" t="s">
        <v>1041</v>
      </c>
      <c r="E1104" s="147" t="s">
        <v>489</v>
      </c>
      <c r="F1104" s="155">
        <f>F1105</f>
        <v>10</v>
      </c>
      <c r="G1104" s="155">
        <f t="shared" si="69"/>
        <v>10</v>
      </c>
      <c r="H1104" s="158"/>
    </row>
    <row r="1105" spans="1:8" ht="24">
      <c r="A1105" s="157" t="s">
        <v>491</v>
      </c>
      <c r="B1105" s="147" t="s">
        <v>1170</v>
      </c>
      <c r="C1105" s="147" t="s">
        <v>936</v>
      </c>
      <c r="D1105" s="147" t="s">
        <v>1041</v>
      </c>
      <c r="E1105" s="147" t="s">
        <v>574</v>
      </c>
      <c r="F1105" s="155">
        <f>F1106</f>
        <v>10</v>
      </c>
      <c r="G1105" s="155">
        <f t="shared" si="69"/>
        <v>10</v>
      </c>
      <c r="H1105" s="158"/>
    </row>
    <row r="1106" spans="1:8" ht="24">
      <c r="A1106" s="157" t="s">
        <v>1620</v>
      </c>
      <c r="B1106" s="147" t="s">
        <v>1170</v>
      </c>
      <c r="C1106" s="147" t="s">
        <v>936</v>
      </c>
      <c r="D1106" s="147" t="s">
        <v>1041</v>
      </c>
      <c r="E1106" s="147" t="s">
        <v>574</v>
      </c>
      <c r="F1106" s="158">
        <v>10</v>
      </c>
      <c r="G1106" s="158">
        <f t="shared" si="69"/>
        <v>10</v>
      </c>
      <c r="H1106" s="158"/>
    </row>
    <row r="1107" spans="1:8" ht="60">
      <c r="A1107" s="152" t="s">
        <v>1327</v>
      </c>
      <c r="B1107" s="147" t="s">
        <v>1170</v>
      </c>
      <c r="C1107" s="147" t="s">
        <v>936</v>
      </c>
      <c r="D1107" s="147" t="s">
        <v>358</v>
      </c>
      <c r="E1107" s="147"/>
      <c r="F1107" s="155">
        <f>F1108+F1116</f>
        <v>59558</v>
      </c>
      <c r="G1107" s="155">
        <f>G1108+G1116</f>
        <v>59558</v>
      </c>
      <c r="H1107" s="155"/>
    </row>
    <row r="1108" spans="1:8" ht="36">
      <c r="A1108" s="152" t="s">
        <v>726</v>
      </c>
      <c r="B1108" s="147" t="s">
        <v>1170</v>
      </c>
      <c r="C1108" s="147" t="s">
        <v>936</v>
      </c>
      <c r="D1108" s="147" t="s">
        <v>359</v>
      </c>
      <c r="E1108" s="147"/>
      <c r="F1108" s="155">
        <f>F1109</f>
        <v>15633</v>
      </c>
      <c r="G1108" s="155">
        <f>G1109</f>
        <v>15633</v>
      </c>
      <c r="H1108" s="155"/>
    </row>
    <row r="1109" spans="1:8" ht="24">
      <c r="A1109" s="157" t="s">
        <v>191</v>
      </c>
      <c r="B1109" s="147" t="s">
        <v>1170</v>
      </c>
      <c r="C1109" s="147" t="s">
        <v>936</v>
      </c>
      <c r="D1109" s="147" t="s">
        <v>1042</v>
      </c>
      <c r="E1109" s="147"/>
      <c r="F1109" s="155">
        <f>F1111+F1113+F1114</f>
        <v>15633</v>
      </c>
      <c r="G1109" s="155">
        <f>F1109-H1109</f>
        <v>15633</v>
      </c>
      <c r="H1109" s="155"/>
    </row>
    <row r="1110" spans="1:8" ht="72">
      <c r="A1110" s="153" t="s">
        <v>1065</v>
      </c>
      <c r="B1110" s="147" t="s">
        <v>1170</v>
      </c>
      <c r="C1110" s="147" t="s">
        <v>936</v>
      </c>
      <c r="D1110" s="147" t="s">
        <v>1042</v>
      </c>
      <c r="E1110" s="147" t="s">
        <v>960</v>
      </c>
      <c r="F1110" s="155">
        <f>F1111</f>
        <v>14067.5</v>
      </c>
      <c r="G1110" s="155">
        <f aca="true" t="shared" si="70" ref="G1110:G1115">F1110-H1110</f>
        <v>14067.5</v>
      </c>
      <c r="H1110" s="155"/>
    </row>
    <row r="1111" spans="1:8" ht="30" customHeight="1">
      <c r="A1111" s="153" t="s">
        <v>515</v>
      </c>
      <c r="B1111" s="147" t="s">
        <v>1170</v>
      </c>
      <c r="C1111" s="147" t="s">
        <v>936</v>
      </c>
      <c r="D1111" s="147" t="s">
        <v>1042</v>
      </c>
      <c r="E1111" s="147" t="s">
        <v>115</v>
      </c>
      <c r="F1111" s="158">
        <f>13322+563+170+12.5</f>
        <v>14067.5</v>
      </c>
      <c r="G1111" s="155">
        <f t="shared" si="70"/>
        <v>14067.5</v>
      </c>
      <c r="H1111" s="155"/>
    </row>
    <row r="1112" spans="1:8" ht="24">
      <c r="A1112" s="153" t="s">
        <v>1066</v>
      </c>
      <c r="B1112" s="147" t="s">
        <v>1170</v>
      </c>
      <c r="C1112" s="147" t="s">
        <v>936</v>
      </c>
      <c r="D1112" s="147" t="s">
        <v>1042</v>
      </c>
      <c r="E1112" s="147" t="s">
        <v>529</v>
      </c>
      <c r="F1112" s="155">
        <f>F1113</f>
        <v>1557.5</v>
      </c>
      <c r="G1112" s="155">
        <f t="shared" si="70"/>
        <v>1557.5</v>
      </c>
      <c r="H1112" s="158"/>
    </row>
    <row r="1113" spans="1:8" ht="27" customHeight="1">
      <c r="A1113" s="153" t="s">
        <v>974</v>
      </c>
      <c r="B1113" s="147" t="s">
        <v>1170</v>
      </c>
      <c r="C1113" s="147" t="s">
        <v>936</v>
      </c>
      <c r="D1113" s="147" t="s">
        <v>1042</v>
      </c>
      <c r="E1113" s="147" t="s">
        <v>429</v>
      </c>
      <c r="F1113" s="158">
        <f>1772-100-102-12.5</f>
        <v>1557.5</v>
      </c>
      <c r="G1113" s="155">
        <f t="shared" si="70"/>
        <v>1557.5</v>
      </c>
      <c r="H1113" s="158"/>
    </row>
    <row r="1114" spans="1:8" ht="15">
      <c r="A1114" s="153" t="s">
        <v>985</v>
      </c>
      <c r="B1114" s="147" t="s">
        <v>1170</v>
      </c>
      <c r="C1114" s="147" t="s">
        <v>936</v>
      </c>
      <c r="D1114" s="147" t="s">
        <v>1042</v>
      </c>
      <c r="E1114" s="147" t="s">
        <v>986</v>
      </c>
      <c r="F1114" s="155">
        <f>F1115</f>
        <v>8</v>
      </c>
      <c r="G1114" s="155">
        <f t="shared" si="70"/>
        <v>8</v>
      </c>
      <c r="H1114" s="155"/>
    </row>
    <row r="1115" spans="1:8" ht="15">
      <c r="A1115" s="153" t="s">
        <v>459</v>
      </c>
      <c r="B1115" s="147" t="s">
        <v>1170</v>
      </c>
      <c r="C1115" s="147" t="s">
        <v>936</v>
      </c>
      <c r="D1115" s="147" t="s">
        <v>1042</v>
      </c>
      <c r="E1115" s="147" t="s">
        <v>460</v>
      </c>
      <c r="F1115" s="158">
        <v>8</v>
      </c>
      <c r="G1115" s="155">
        <f t="shared" si="70"/>
        <v>8</v>
      </c>
      <c r="H1115" s="155"/>
    </row>
    <row r="1116" spans="1:8" ht="36">
      <c r="A1116" s="153" t="s">
        <v>362</v>
      </c>
      <c r="B1116" s="147" t="s">
        <v>1170</v>
      </c>
      <c r="C1116" s="147" t="s">
        <v>936</v>
      </c>
      <c r="D1116" s="147" t="s">
        <v>953</v>
      </c>
      <c r="E1116" s="147"/>
      <c r="F1116" s="155">
        <f>F1117</f>
        <v>43925</v>
      </c>
      <c r="G1116" s="155">
        <f>G1117</f>
        <v>43925</v>
      </c>
      <c r="H1116" s="155"/>
    </row>
    <row r="1117" spans="1:8" ht="72">
      <c r="A1117" s="193" t="s">
        <v>541</v>
      </c>
      <c r="B1117" s="147" t="s">
        <v>1170</v>
      </c>
      <c r="C1117" s="147" t="s">
        <v>936</v>
      </c>
      <c r="D1117" s="147" t="s">
        <v>1043</v>
      </c>
      <c r="E1117" s="147"/>
      <c r="F1117" s="155">
        <f>F1118</f>
        <v>43925</v>
      </c>
      <c r="G1117" s="155">
        <f>G1118</f>
        <v>43925</v>
      </c>
      <c r="H1117" s="155">
        <f>H1118</f>
        <v>0</v>
      </c>
    </row>
    <row r="1118" spans="1:8" ht="36">
      <c r="A1118" s="152" t="s">
        <v>490</v>
      </c>
      <c r="B1118" s="147" t="s">
        <v>1170</v>
      </c>
      <c r="C1118" s="147" t="s">
        <v>936</v>
      </c>
      <c r="D1118" s="147" t="s">
        <v>1043</v>
      </c>
      <c r="E1118" s="147" t="s">
        <v>489</v>
      </c>
      <c r="F1118" s="155">
        <f>F1119</f>
        <v>43925</v>
      </c>
      <c r="G1118" s="155">
        <f>F1118-H1118</f>
        <v>43925</v>
      </c>
      <c r="H1118" s="158"/>
    </row>
    <row r="1119" spans="1:8" ht="24">
      <c r="A1119" s="157" t="s">
        <v>491</v>
      </c>
      <c r="B1119" s="147" t="s">
        <v>1170</v>
      </c>
      <c r="C1119" s="147" t="s">
        <v>936</v>
      </c>
      <c r="D1119" s="147" t="s">
        <v>1043</v>
      </c>
      <c r="E1119" s="147" t="s">
        <v>574</v>
      </c>
      <c r="F1119" s="158">
        <f>44145+100-310-10</f>
        <v>43925</v>
      </c>
      <c r="G1119" s="155">
        <f>F1119-H1119</f>
        <v>43925</v>
      </c>
      <c r="H1119" s="158"/>
    </row>
    <row r="1120" spans="1:8" ht="15">
      <c r="A1120" s="166" t="s">
        <v>34</v>
      </c>
      <c r="B1120" s="146" t="s">
        <v>433</v>
      </c>
      <c r="C1120" s="146"/>
      <c r="D1120" s="146"/>
      <c r="E1120" s="146"/>
      <c r="F1120" s="167">
        <f>F1121+F1130+F1306</f>
        <v>319655.5</v>
      </c>
      <c r="G1120" s="167">
        <f>G1121+G1130+G1306</f>
        <v>124949.79999999999</v>
      </c>
      <c r="H1120" s="167">
        <f>H1121+H1130+H1306</f>
        <v>194705.7</v>
      </c>
    </row>
    <row r="1121" spans="1:8" ht="15">
      <c r="A1121" s="156" t="s">
        <v>1151</v>
      </c>
      <c r="B1121" s="147" t="s">
        <v>433</v>
      </c>
      <c r="C1121" s="147" t="s">
        <v>1145</v>
      </c>
      <c r="D1121" s="147"/>
      <c r="E1121" s="147"/>
      <c r="F1121" s="175">
        <f>F1122</f>
        <v>11082.5</v>
      </c>
      <c r="G1121" s="155">
        <f aca="true" t="shared" si="71" ref="G1121:G1178">F1121-H1121</f>
        <v>11082.5</v>
      </c>
      <c r="H1121" s="175"/>
    </row>
    <row r="1122" spans="1:8" ht="36">
      <c r="A1122" s="164" t="s">
        <v>1355</v>
      </c>
      <c r="B1122" s="147" t="s">
        <v>433</v>
      </c>
      <c r="C1122" s="147" t="s">
        <v>1145</v>
      </c>
      <c r="D1122" s="147" t="s">
        <v>755</v>
      </c>
      <c r="E1122" s="147"/>
      <c r="F1122" s="155">
        <f>F1123</f>
        <v>11082.5</v>
      </c>
      <c r="G1122" s="155">
        <f t="shared" si="71"/>
        <v>11082.5</v>
      </c>
      <c r="H1122" s="175"/>
    </row>
    <row r="1123" spans="1:8" ht="60">
      <c r="A1123" s="152" t="s">
        <v>1356</v>
      </c>
      <c r="B1123" s="147" t="s">
        <v>433</v>
      </c>
      <c r="C1123" s="147" t="s">
        <v>1145</v>
      </c>
      <c r="D1123" s="147" t="s">
        <v>756</v>
      </c>
      <c r="E1123" s="147"/>
      <c r="F1123" s="155">
        <f>F1125</f>
        <v>11082.5</v>
      </c>
      <c r="G1123" s="155">
        <f>G1125</f>
        <v>11082.5</v>
      </c>
      <c r="H1123" s="155">
        <f>H1125</f>
        <v>0</v>
      </c>
    </row>
    <row r="1124" spans="1:8" ht="48">
      <c r="A1124" s="152" t="s">
        <v>760</v>
      </c>
      <c r="B1124" s="147" t="s">
        <v>433</v>
      </c>
      <c r="C1124" s="147" t="s">
        <v>1145</v>
      </c>
      <c r="D1124" s="147" t="s">
        <v>222</v>
      </c>
      <c r="E1124" s="147"/>
      <c r="F1124" s="155">
        <f>F1125</f>
        <v>11082.5</v>
      </c>
      <c r="G1124" s="155">
        <f>G1125</f>
        <v>11082.5</v>
      </c>
      <c r="H1124" s="155"/>
    </row>
    <row r="1125" spans="1:8" ht="24">
      <c r="A1125" s="174" t="s">
        <v>479</v>
      </c>
      <c r="B1125" s="147" t="s">
        <v>433</v>
      </c>
      <c r="C1125" s="147" t="s">
        <v>1145</v>
      </c>
      <c r="D1125" s="147" t="s">
        <v>223</v>
      </c>
      <c r="E1125" s="147"/>
      <c r="F1125" s="155">
        <f>F1126+F1128</f>
        <v>11082.5</v>
      </c>
      <c r="G1125" s="155">
        <f>G1126+G1128</f>
        <v>11082.5</v>
      </c>
      <c r="H1125" s="155">
        <f>H1126+H1128</f>
        <v>0</v>
      </c>
    </row>
    <row r="1126" spans="1:8" ht="24">
      <c r="A1126" s="157" t="s">
        <v>1066</v>
      </c>
      <c r="B1126" s="147" t="s">
        <v>433</v>
      </c>
      <c r="C1126" s="147" t="s">
        <v>1145</v>
      </c>
      <c r="D1126" s="147" t="s">
        <v>223</v>
      </c>
      <c r="E1126" s="147" t="s">
        <v>529</v>
      </c>
      <c r="F1126" s="155">
        <f>F1127</f>
        <v>82.5</v>
      </c>
      <c r="G1126" s="155">
        <f t="shared" si="71"/>
        <v>82.5</v>
      </c>
      <c r="H1126" s="155"/>
    </row>
    <row r="1127" spans="1:8" ht="24">
      <c r="A1127" s="153" t="s">
        <v>974</v>
      </c>
      <c r="B1127" s="147" t="s">
        <v>433</v>
      </c>
      <c r="C1127" s="147" t="s">
        <v>1145</v>
      </c>
      <c r="D1127" s="147" t="s">
        <v>223</v>
      </c>
      <c r="E1127" s="147" t="s">
        <v>429</v>
      </c>
      <c r="F1127" s="158">
        <v>82.5</v>
      </c>
      <c r="G1127" s="155">
        <f t="shared" si="71"/>
        <v>82.5</v>
      </c>
      <c r="H1127" s="155"/>
    </row>
    <row r="1128" spans="1:8" ht="24">
      <c r="A1128" s="153" t="s">
        <v>530</v>
      </c>
      <c r="B1128" s="147" t="s">
        <v>433</v>
      </c>
      <c r="C1128" s="147" t="s">
        <v>1145</v>
      </c>
      <c r="D1128" s="147" t="s">
        <v>223</v>
      </c>
      <c r="E1128" s="147" t="s">
        <v>531</v>
      </c>
      <c r="F1128" s="155">
        <f>F1129</f>
        <v>11000</v>
      </c>
      <c r="G1128" s="155">
        <f t="shared" si="71"/>
        <v>11000</v>
      </c>
      <c r="H1128" s="155"/>
    </row>
    <row r="1129" spans="1:8" ht="24">
      <c r="A1129" s="152" t="s">
        <v>91</v>
      </c>
      <c r="B1129" s="147" t="s">
        <v>433</v>
      </c>
      <c r="C1129" s="147" t="s">
        <v>1145</v>
      </c>
      <c r="D1129" s="147" t="s">
        <v>223</v>
      </c>
      <c r="E1129" s="147" t="s">
        <v>38</v>
      </c>
      <c r="F1129" s="158">
        <v>11000</v>
      </c>
      <c r="G1129" s="155">
        <f t="shared" si="71"/>
        <v>11000</v>
      </c>
      <c r="H1129" s="155"/>
    </row>
    <row r="1130" spans="1:8" ht="15">
      <c r="A1130" s="156" t="s">
        <v>682</v>
      </c>
      <c r="B1130" s="147" t="s">
        <v>433</v>
      </c>
      <c r="C1130" s="147" t="s">
        <v>436</v>
      </c>
      <c r="D1130" s="147"/>
      <c r="E1130" s="147"/>
      <c r="F1130" s="155">
        <f>F1131+F1263+F1254+F1300</f>
        <v>184224.99999999997</v>
      </c>
      <c r="G1130" s="155">
        <f>G1131+G1263+G1254+G1300</f>
        <v>113867.29999999999</v>
      </c>
      <c r="H1130" s="155">
        <f>H1131+H1263+H1254+H1300</f>
        <v>70357.7</v>
      </c>
    </row>
    <row r="1131" spans="1:8" ht="36">
      <c r="A1131" s="164" t="s">
        <v>1355</v>
      </c>
      <c r="B1131" s="147" t="s">
        <v>433</v>
      </c>
      <c r="C1131" s="147" t="s">
        <v>436</v>
      </c>
      <c r="D1131" s="147" t="s">
        <v>755</v>
      </c>
      <c r="E1131" s="147"/>
      <c r="F1131" s="155">
        <f>F1132+F1233+F1242</f>
        <v>111552.59999999999</v>
      </c>
      <c r="G1131" s="155">
        <f>G1132+G1233+G1242</f>
        <v>42175.59999999999</v>
      </c>
      <c r="H1131" s="155">
        <f>H1132+H1233+H1242</f>
        <v>69377</v>
      </c>
    </row>
    <row r="1132" spans="1:8" ht="60">
      <c r="A1132" s="152" t="s">
        <v>1356</v>
      </c>
      <c r="B1132" s="147" t="s">
        <v>433</v>
      </c>
      <c r="C1132" s="147" t="s">
        <v>436</v>
      </c>
      <c r="D1132" s="147" t="s">
        <v>756</v>
      </c>
      <c r="E1132" s="147"/>
      <c r="F1132" s="279">
        <f>F1133+F1183+F1212+F1229</f>
        <v>67452.29999999999</v>
      </c>
      <c r="G1132" s="155">
        <f t="shared" si="71"/>
        <v>33322.29999999999</v>
      </c>
      <c r="H1132" s="155">
        <f>H1213+H1219+H1184+H1187+H1134+H1139+H1145+H1150+H1155+H1160+H1165+H1170+H1175+H1190+H1193+H1198+H1203+H1206+H1224</f>
        <v>34130</v>
      </c>
    </row>
    <row r="1133" spans="1:8" ht="48">
      <c r="A1133" s="255" t="s">
        <v>758</v>
      </c>
      <c r="B1133" s="147" t="s">
        <v>433</v>
      </c>
      <c r="C1133" s="147" t="s">
        <v>436</v>
      </c>
      <c r="D1133" s="147" t="s">
        <v>757</v>
      </c>
      <c r="E1133" s="147"/>
      <c r="F1133" s="155">
        <f>F1134+F1139+F1145+F1150+F1155+F1160+F1165+F1170+F1175+F1180</f>
        <v>11025.599999999999</v>
      </c>
      <c r="G1133" s="155">
        <f>G1134+G1139+G1145+G1150+G1155+G1160+G1165+G1170+G1175+G1180</f>
        <v>11025.599999999999</v>
      </c>
      <c r="H1133" s="155"/>
    </row>
    <row r="1134" spans="1:8" ht="36">
      <c r="A1134" s="157" t="s">
        <v>292</v>
      </c>
      <c r="B1134" s="147" t="s">
        <v>433</v>
      </c>
      <c r="C1134" s="147" t="s">
        <v>436</v>
      </c>
      <c r="D1134" s="147" t="s">
        <v>759</v>
      </c>
      <c r="E1134" s="147"/>
      <c r="F1134" s="155">
        <f>F1135+F1137</f>
        <v>440</v>
      </c>
      <c r="G1134" s="155">
        <f t="shared" si="71"/>
        <v>440</v>
      </c>
      <c r="H1134" s="176"/>
    </row>
    <row r="1135" spans="1:8" ht="24">
      <c r="A1135" s="157" t="s">
        <v>1066</v>
      </c>
      <c r="B1135" s="147" t="s">
        <v>433</v>
      </c>
      <c r="C1135" s="147" t="s">
        <v>436</v>
      </c>
      <c r="D1135" s="147" t="s">
        <v>759</v>
      </c>
      <c r="E1135" s="147" t="s">
        <v>529</v>
      </c>
      <c r="F1135" s="155">
        <f>F1136</f>
        <v>20</v>
      </c>
      <c r="G1135" s="155">
        <f t="shared" si="71"/>
        <v>20</v>
      </c>
      <c r="H1135" s="176"/>
    </row>
    <row r="1136" spans="1:8" ht="36">
      <c r="A1136" s="157" t="s">
        <v>920</v>
      </c>
      <c r="B1136" s="147" t="s">
        <v>433</v>
      </c>
      <c r="C1136" s="147" t="s">
        <v>436</v>
      </c>
      <c r="D1136" s="147" t="s">
        <v>759</v>
      </c>
      <c r="E1136" s="147" t="s">
        <v>429</v>
      </c>
      <c r="F1136" s="158">
        <f>20</f>
        <v>20</v>
      </c>
      <c r="G1136" s="155">
        <f t="shared" si="71"/>
        <v>20</v>
      </c>
      <c r="H1136" s="176"/>
    </row>
    <row r="1137" spans="1:8" ht="24">
      <c r="A1137" s="153" t="s">
        <v>530</v>
      </c>
      <c r="B1137" s="147" t="s">
        <v>433</v>
      </c>
      <c r="C1137" s="147" t="s">
        <v>436</v>
      </c>
      <c r="D1137" s="147" t="s">
        <v>759</v>
      </c>
      <c r="E1137" s="147" t="s">
        <v>531</v>
      </c>
      <c r="F1137" s="155">
        <f>F1138</f>
        <v>420</v>
      </c>
      <c r="G1137" s="155">
        <f t="shared" si="71"/>
        <v>420</v>
      </c>
      <c r="H1137" s="176"/>
    </row>
    <row r="1138" spans="1:8" ht="24">
      <c r="A1138" s="152" t="s">
        <v>91</v>
      </c>
      <c r="B1138" s="147" t="s">
        <v>433</v>
      </c>
      <c r="C1138" s="147" t="s">
        <v>436</v>
      </c>
      <c r="D1138" s="147" t="s">
        <v>759</v>
      </c>
      <c r="E1138" s="147" t="s">
        <v>38</v>
      </c>
      <c r="F1138" s="158">
        <f>405+15</f>
        <v>420</v>
      </c>
      <c r="G1138" s="155">
        <f t="shared" si="71"/>
        <v>420</v>
      </c>
      <c r="H1138" s="176"/>
    </row>
    <row r="1139" spans="1:8" ht="36">
      <c r="A1139" s="157" t="s">
        <v>293</v>
      </c>
      <c r="B1139" s="147" t="s">
        <v>433</v>
      </c>
      <c r="C1139" s="147" t="s">
        <v>436</v>
      </c>
      <c r="D1139" s="147" t="s">
        <v>761</v>
      </c>
      <c r="E1139" s="147"/>
      <c r="F1139" s="155">
        <f>F1140+F1142</f>
        <v>154.3</v>
      </c>
      <c r="G1139" s="155">
        <f>F1139-H1139</f>
        <v>154.3</v>
      </c>
      <c r="H1139" s="176"/>
    </row>
    <row r="1140" spans="1:8" ht="24">
      <c r="A1140" s="157" t="s">
        <v>1066</v>
      </c>
      <c r="B1140" s="147" t="s">
        <v>433</v>
      </c>
      <c r="C1140" s="147" t="s">
        <v>436</v>
      </c>
      <c r="D1140" s="147" t="s">
        <v>761</v>
      </c>
      <c r="E1140" s="147" t="s">
        <v>529</v>
      </c>
      <c r="F1140" s="155">
        <f>F1141</f>
        <v>7.3</v>
      </c>
      <c r="G1140" s="155">
        <f>F1140-H1140</f>
        <v>7.3</v>
      </c>
      <c r="H1140" s="176"/>
    </row>
    <row r="1141" spans="1:8" ht="36">
      <c r="A1141" s="157" t="s">
        <v>920</v>
      </c>
      <c r="B1141" s="147" t="s">
        <v>433</v>
      </c>
      <c r="C1141" s="147" t="s">
        <v>436</v>
      </c>
      <c r="D1141" s="147" t="s">
        <v>761</v>
      </c>
      <c r="E1141" s="147" t="s">
        <v>429</v>
      </c>
      <c r="F1141" s="158">
        <v>7.3</v>
      </c>
      <c r="G1141" s="155">
        <f>F1141-H1141</f>
        <v>7.3</v>
      </c>
      <c r="H1141" s="176"/>
    </row>
    <row r="1142" spans="1:8" ht="24">
      <c r="A1142" s="153" t="s">
        <v>530</v>
      </c>
      <c r="B1142" s="147" t="s">
        <v>433</v>
      </c>
      <c r="C1142" s="147" t="s">
        <v>436</v>
      </c>
      <c r="D1142" s="147" t="s">
        <v>761</v>
      </c>
      <c r="E1142" s="147" t="s">
        <v>531</v>
      </c>
      <c r="F1142" s="155">
        <f>F1143</f>
        <v>147</v>
      </c>
      <c r="G1142" s="155">
        <f t="shared" si="71"/>
        <v>147</v>
      </c>
      <c r="H1142" s="176"/>
    </row>
    <row r="1143" spans="1:8" ht="24">
      <c r="A1143" s="152" t="s">
        <v>91</v>
      </c>
      <c r="B1143" s="147" t="s">
        <v>433</v>
      </c>
      <c r="C1143" s="147" t="s">
        <v>436</v>
      </c>
      <c r="D1143" s="147" t="s">
        <v>761</v>
      </c>
      <c r="E1143" s="147" t="s">
        <v>38</v>
      </c>
      <c r="F1143" s="158">
        <f>F1144</f>
        <v>147</v>
      </c>
      <c r="G1143" s="155">
        <f t="shared" si="71"/>
        <v>147</v>
      </c>
      <c r="H1143" s="176"/>
    </row>
    <row r="1144" spans="1:8" ht="36">
      <c r="A1144" s="157" t="s">
        <v>348</v>
      </c>
      <c r="B1144" s="147" t="s">
        <v>433</v>
      </c>
      <c r="C1144" s="147" t="s">
        <v>436</v>
      </c>
      <c r="D1144" s="147" t="s">
        <v>761</v>
      </c>
      <c r="E1144" s="147" t="s">
        <v>38</v>
      </c>
      <c r="F1144" s="158">
        <v>147</v>
      </c>
      <c r="G1144" s="155">
        <f t="shared" si="71"/>
        <v>147</v>
      </c>
      <c r="H1144" s="176"/>
    </row>
    <row r="1145" spans="1:8" ht="36">
      <c r="A1145" s="157" t="s">
        <v>314</v>
      </c>
      <c r="B1145" s="147" t="s">
        <v>433</v>
      </c>
      <c r="C1145" s="147" t="s">
        <v>436</v>
      </c>
      <c r="D1145" s="147" t="s">
        <v>762</v>
      </c>
      <c r="E1145" s="147"/>
      <c r="F1145" s="155">
        <f>F1146+F1148</f>
        <v>315</v>
      </c>
      <c r="G1145" s="155">
        <f t="shared" si="71"/>
        <v>315</v>
      </c>
      <c r="H1145" s="176"/>
    </row>
    <row r="1146" spans="1:8" ht="24">
      <c r="A1146" s="157" t="s">
        <v>1066</v>
      </c>
      <c r="B1146" s="147" t="s">
        <v>433</v>
      </c>
      <c r="C1146" s="147" t="s">
        <v>436</v>
      </c>
      <c r="D1146" s="147" t="s">
        <v>762</v>
      </c>
      <c r="E1146" s="147" t="s">
        <v>529</v>
      </c>
      <c r="F1146" s="155">
        <f>F1147</f>
        <v>15</v>
      </c>
      <c r="G1146" s="155">
        <f t="shared" si="71"/>
        <v>15</v>
      </c>
      <c r="H1146" s="176"/>
    </row>
    <row r="1147" spans="1:8" ht="36">
      <c r="A1147" s="157" t="s">
        <v>920</v>
      </c>
      <c r="B1147" s="147" t="s">
        <v>433</v>
      </c>
      <c r="C1147" s="147" t="s">
        <v>436</v>
      </c>
      <c r="D1147" s="147" t="s">
        <v>762</v>
      </c>
      <c r="E1147" s="147" t="s">
        <v>429</v>
      </c>
      <c r="F1147" s="158">
        <v>15</v>
      </c>
      <c r="G1147" s="155">
        <f t="shared" si="71"/>
        <v>15</v>
      </c>
      <c r="H1147" s="176"/>
    </row>
    <row r="1148" spans="1:8" ht="24">
      <c r="A1148" s="153" t="s">
        <v>530</v>
      </c>
      <c r="B1148" s="147" t="s">
        <v>433</v>
      </c>
      <c r="C1148" s="147" t="s">
        <v>436</v>
      </c>
      <c r="D1148" s="147" t="s">
        <v>762</v>
      </c>
      <c r="E1148" s="147" t="s">
        <v>531</v>
      </c>
      <c r="F1148" s="155">
        <f>F1149</f>
        <v>300</v>
      </c>
      <c r="G1148" s="155">
        <f t="shared" si="71"/>
        <v>300</v>
      </c>
      <c r="H1148" s="176"/>
    </row>
    <row r="1149" spans="1:8" ht="24">
      <c r="A1149" s="152" t="s">
        <v>91</v>
      </c>
      <c r="B1149" s="147" t="s">
        <v>433</v>
      </c>
      <c r="C1149" s="147" t="s">
        <v>436</v>
      </c>
      <c r="D1149" s="147" t="s">
        <v>762</v>
      </c>
      <c r="E1149" s="147" t="s">
        <v>38</v>
      </c>
      <c r="F1149" s="158">
        <v>300</v>
      </c>
      <c r="G1149" s="155">
        <f t="shared" si="71"/>
        <v>300</v>
      </c>
      <c r="H1149" s="176"/>
    </row>
    <row r="1150" spans="1:8" ht="36">
      <c r="A1150" s="157" t="s">
        <v>1182</v>
      </c>
      <c r="B1150" s="147" t="s">
        <v>433</v>
      </c>
      <c r="C1150" s="147" t="s">
        <v>436</v>
      </c>
      <c r="D1150" s="147" t="s">
        <v>763</v>
      </c>
      <c r="E1150" s="147"/>
      <c r="F1150" s="155">
        <f>F1151+F1153</f>
        <v>15.8</v>
      </c>
      <c r="G1150" s="155">
        <f t="shared" si="71"/>
        <v>15.8</v>
      </c>
      <c r="H1150" s="176"/>
    </row>
    <row r="1151" spans="1:8" ht="24">
      <c r="A1151" s="157" t="s">
        <v>1066</v>
      </c>
      <c r="B1151" s="147" t="s">
        <v>433</v>
      </c>
      <c r="C1151" s="147" t="s">
        <v>436</v>
      </c>
      <c r="D1151" s="147" t="s">
        <v>763</v>
      </c>
      <c r="E1151" s="147" t="s">
        <v>529</v>
      </c>
      <c r="F1151" s="155">
        <f>F1152</f>
        <v>0.8</v>
      </c>
      <c r="G1151" s="155">
        <f t="shared" si="71"/>
        <v>0.8</v>
      </c>
      <c r="H1151" s="176"/>
    </row>
    <row r="1152" spans="1:8" ht="36">
      <c r="A1152" s="157" t="s">
        <v>920</v>
      </c>
      <c r="B1152" s="147" t="s">
        <v>433</v>
      </c>
      <c r="C1152" s="147" t="s">
        <v>436</v>
      </c>
      <c r="D1152" s="147" t="s">
        <v>763</v>
      </c>
      <c r="E1152" s="147" t="s">
        <v>429</v>
      </c>
      <c r="F1152" s="158">
        <v>0.8</v>
      </c>
      <c r="G1152" s="155">
        <f t="shared" si="71"/>
        <v>0.8</v>
      </c>
      <c r="H1152" s="176"/>
    </row>
    <row r="1153" spans="1:8" ht="24">
      <c r="A1153" s="153" t="s">
        <v>530</v>
      </c>
      <c r="B1153" s="147" t="s">
        <v>433</v>
      </c>
      <c r="C1153" s="147" t="s">
        <v>436</v>
      </c>
      <c r="D1153" s="147" t="s">
        <v>763</v>
      </c>
      <c r="E1153" s="147" t="s">
        <v>531</v>
      </c>
      <c r="F1153" s="155">
        <f>F1154</f>
        <v>15</v>
      </c>
      <c r="G1153" s="155">
        <f t="shared" si="71"/>
        <v>15</v>
      </c>
      <c r="H1153" s="176"/>
    </row>
    <row r="1154" spans="1:8" ht="24">
      <c r="A1154" s="152" t="s">
        <v>91</v>
      </c>
      <c r="B1154" s="147" t="s">
        <v>433</v>
      </c>
      <c r="C1154" s="147" t="s">
        <v>436</v>
      </c>
      <c r="D1154" s="147" t="s">
        <v>763</v>
      </c>
      <c r="E1154" s="147" t="s">
        <v>38</v>
      </c>
      <c r="F1154" s="158">
        <v>15</v>
      </c>
      <c r="G1154" s="155">
        <f t="shared" si="71"/>
        <v>15</v>
      </c>
      <c r="H1154" s="176"/>
    </row>
    <row r="1155" spans="1:8" ht="36">
      <c r="A1155" s="157" t="s">
        <v>634</v>
      </c>
      <c r="B1155" s="147" t="s">
        <v>433</v>
      </c>
      <c r="C1155" s="147" t="s">
        <v>436</v>
      </c>
      <c r="D1155" s="147" t="s">
        <v>764</v>
      </c>
      <c r="E1155" s="147"/>
      <c r="F1155" s="155">
        <f>F1156+F1158</f>
        <v>11.1</v>
      </c>
      <c r="G1155" s="155">
        <f t="shared" si="71"/>
        <v>11.1</v>
      </c>
      <c r="H1155" s="176"/>
    </row>
    <row r="1156" spans="1:8" ht="24">
      <c r="A1156" s="157" t="s">
        <v>1066</v>
      </c>
      <c r="B1156" s="147" t="s">
        <v>433</v>
      </c>
      <c r="C1156" s="147" t="s">
        <v>436</v>
      </c>
      <c r="D1156" s="147" t="s">
        <v>764</v>
      </c>
      <c r="E1156" s="147" t="s">
        <v>529</v>
      </c>
      <c r="F1156" s="155">
        <f>F1157</f>
        <v>0.6</v>
      </c>
      <c r="G1156" s="155">
        <f t="shared" si="71"/>
        <v>0.6</v>
      </c>
      <c r="H1156" s="176"/>
    </row>
    <row r="1157" spans="1:8" ht="36">
      <c r="A1157" s="157" t="s">
        <v>920</v>
      </c>
      <c r="B1157" s="147" t="s">
        <v>433</v>
      </c>
      <c r="C1157" s="147" t="s">
        <v>436</v>
      </c>
      <c r="D1157" s="147" t="s">
        <v>764</v>
      </c>
      <c r="E1157" s="147" t="s">
        <v>429</v>
      </c>
      <c r="F1157" s="158">
        <v>0.6</v>
      </c>
      <c r="G1157" s="155">
        <f t="shared" si="71"/>
        <v>0.6</v>
      </c>
      <c r="H1157" s="176"/>
    </row>
    <row r="1158" spans="1:8" ht="24">
      <c r="A1158" s="153" t="s">
        <v>530</v>
      </c>
      <c r="B1158" s="147" t="s">
        <v>433</v>
      </c>
      <c r="C1158" s="147" t="s">
        <v>436</v>
      </c>
      <c r="D1158" s="147" t="s">
        <v>764</v>
      </c>
      <c r="E1158" s="147" t="s">
        <v>531</v>
      </c>
      <c r="F1158" s="155">
        <f>F1159</f>
        <v>10.5</v>
      </c>
      <c r="G1158" s="155">
        <f t="shared" si="71"/>
        <v>10.5</v>
      </c>
      <c r="H1158" s="176"/>
    </row>
    <row r="1159" spans="1:8" ht="24">
      <c r="A1159" s="152" t="s">
        <v>91</v>
      </c>
      <c r="B1159" s="147" t="s">
        <v>433</v>
      </c>
      <c r="C1159" s="147" t="s">
        <v>436</v>
      </c>
      <c r="D1159" s="147" t="s">
        <v>764</v>
      </c>
      <c r="E1159" s="147" t="s">
        <v>38</v>
      </c>
      <c r="F1159" s="158">
        <v>10.5</v>
      </c>
      <c r="G1159" s="155">
        <f t="shared" si="71"/>
        <v>10.5</v>
      </c>
      <c r="H1159" s="176"/>
    </row>
    <row r="1160" spans="1:8" ht="24">
      <c r="A1160" s="157" t="s">
        <v>1129</v>
      </c>
      <c r="B1160" s="147" t="s">
        <v>433</v>
      </c>
      <c r="C1160" s="147" t="s">
        <v>436</v>
      </c>
      <c r="D1160" s="147" t="s">
        <v>765</v>
      </c>
      <c r="E1160" s="147"/>
      <c r="F1160" s="155">
        <f>F1161+F1163</f>
        <v>28.4</v>
      </c>
      <c r="G1160" s="155">
        <f t="shared" si="71"/>
        <v>28.4</v>
      </c>
      <c r="H1160" s="176"/>
    </row>
    <row r="1161" spans="1:8" ht="24">
      <c r="A1161" s="157" t="s">
        <v>1066</v>
      </c>
      <c r="B1161" s="147" t="s">
        <v>433</v>
      </c>
      <c r="C1161" s="147" t="s">
        <v>436</v>
      </c>
      <c r="D1161" s="147" t="s">
        <v>765</v>
      </c>
      <c r="E1161" s="147" t="s">
        <v>529</v>
      </c>
      <c r="F1161" s="155">
        <f>F1162</f>
        <v>1.4</v>
      </c>
      <c r="G1161" s="155">
        <f t="shared" si="71"/>
        <v>1.4</v>
      </c>
      <c r="H1161" s="176"/>
    </row>
    <row r="1162" spans="1:8" ht="36">
      <c r="A1162" s="157" t="s">
        <v>920</v>
      </c>
      <c r="B1162" s="147" t="s">
        <v>433</v>
      </c>
      <c r="C1162" s="147" t="s">
        <v>436</v>
      </c>
      <c r="D1162" s="147" t="s">
        <v>765</v>
      </c>
      <c r="E1162" s="147" t="s">
        <v>429</v>
      </c>
      <c r="F1162" s="158">
        <v>1.4</v>
      </c>
      <c r="G1162" s="155">
        <f t="shared" si="71"/>
        <v>1.4</v>
      </c>
      <c r="H1162" s="176"/>
    </row>
    <row r="1163" spans="1:8" ht="24">
      <c r="A1163" s="153" t="s">
        <v>530</v>
      </c>
      <c r="B1163" s="147" t="s">
        <v>433</v>
      </c>
      <c r="C1163" s="147" t="s">
        <v>436</v>
      </c>
      <c r="D1163" s="147" t="s">
        <v>765</v>
      </c>
      <c r="E1163" s="147" t="s">
        <v>531</v>
      </c>
      <c r="F1163" s="155">
        <f>F1164</f>
        <v>27</v>
      </c>
      <c r="G1163" s="155">
        <f t="shared" si="71"/>
        <v>27</v>
      </c>
      <c r="H1163" s="176"/>
    </row>
    <row r="1164" spans="1:8" ht="24">
      <c r="A1164" s="152" t="s">
        <v>91</v>
      </c>
      <c r="B1164" s="147" t="s">
        <v>433</v>
      </c>
      <c r="C1164" s="147" t="s">
        <v>436</v>
      </c>
      <c r="D1164" s="147" t="s">
        <v>765</v>
      </c>
      <c r="E1164" s="147" t="s">
        <v>38</v>
      </c>
      <c r="F1164" s="158">
        <v>27</v>
      </c>
      <c r="G1164" s="155">
        <f t="shared" si="71"/>
        <v>27</v>
      </c>
      <c r="H1164" s="176"/>
    </row>
    <row r="1165" spans="1:8" ht="24">
      <c r="A1165" s="157" t="s">
        <v>397</v>
      </c>
      <c r="B1165" s="147" t="s">
        <v>433</v>
      </c>
      <c r="C1165" s="147" t="s">
        <v>436</v>
      </c>
      <c r="D1165" s="147" t="s">
        <v>766</v>
      </c>
      <c r="E1165" s="147"/>
      <c r="F1165" s="155">
        <f>F1166+F1168</f>
        <v>11.1</v>
      </c>
      <c r="G1165" s="155">
        <f t="shared" si="71"/>
        <v>11.1</v>
      </c>
      <c r="H1165" s="176"/>
    </row>
    <row r="1166" spans="1:8" ht="24">
      <c r="A1166" s="157" t="s">
        <v>1066</v>
      </c>
      <c r="B1166" s="147" t="s">
        <v>433</v>
      </c>
      <c r="C1166" s="147" t="s">
        <v>436</v>
      </c>
      <c r="D1166" s="147" t="s">
        <v>766</v>
      </c>
      <c r="E1166" s="147" t="s">
        <v>529</v>
      </c>
      <c r="F1166" s="155">
        <f>F1167</f>
        <v>0.6</v>
      </c>
      <c r="G1166" s="155">
        <f t="shared" si="71"/>
        <v>0.6</v>
      </c>
      <c r="H1166" s="176"/>
    </row>
    <row r="1167" spans="1:8" ht="36">
      <c r="A1167" s="157" t="s">
        <v>920</v>
      </c>
      <c r="B1167" s="147" t="s">
        <v>433</v>
      </c>
      <c r="C1167" s="147" t="s">
        <v>436</v>
      </c>
      <c r="D1167" s="147" t="s">
        <v>766</v>
      </c>
      <c r="E1167" s="147" t="s">
        <v>429</v>
      </c>
      <c r="F1167" s="158">
        <v>0.6</v>
      </c>
      <c r="G1167" s="155">
        <f t="shared" si="71"/>
        <v>0.6</v>
      </c>
      <c r="H1167" s="176"/>
    </row>
    <row r="1168" spans="1:8" ht="24">
      <c r="A1168" s="153" t="s">
        <v>530</v>
      </c>
      <c r="B1168" s="147" t="s">
        <v>433</v>
      </c>
      <c r="C1168" s="147" t="s">
        <v>436</v>
      </c>
      <c r="D1168" s="147" t="s">
        <v>766</v>
      </c>
      <c r="E1168" s="147" t="s">
        <v>531</v>
      </c>
      <c r="F1168" s="155">
        <f>F1169</f>
        <v>10.5</v>
      </c>
      <c r="G1168" s="155">
        <f t="shared" si="71"/>
        <v>10.5</v>
      </c>
      <c r="H1168" s="176"/>
    </row>
    <row r="1169" spans="1:8" ht="24">
      <c r="A1169" s="152" t="s">
        <v>91</v>
      </c>
      <c r="B1169" s="147" t="s">
        <v>433</v>
      </c>
      <c r="C1169" s="147" t="s">
        <v>436</v>
      </c>
      <c r="D1169" s="147" t="s">
        <v>766</v>
      </c>
      <c r="E1169" s="147" t="s">
        <v>38</v>
      </c>
      <c r="F1169" s="158">
        <f>10.5</f>
        <v>10.5</v>
      </c>
      <c r="G1169" s="155">
        <f t="shared" si="71"/>
        <v>10.5</v>
      </c>
      <c r="H1169" s="176"/>
    </row>
    <row r="1170" spans="1:8" ht="36">
      <c r="A1170" s="157" t="s">
        <v>261</v>
      </c>
      <c r="B1170" s="147" t="s">
        <v>433</v>
      </c>
      <c r="C1170" s="147" t="s">
        <v>436</v>
      </c>
      <c r="D1170" s="147" t="s">
        <v>767</v>
      </c>
      <c r="E1170" s="147"/>
      <c r="F1170" s="155">
        <f>F1171+F1173</f>
        <v>3520</v>
      </c>
      <c r="G1170" s="155">
        <f t="shared" si="71"/>
        <v>3520</v>
      </c>
      <c r="H1170" s="176"/>
    </row>
    <row r="1171" spans="1:8" ht="24">
      <c r="A1171" s="157" t="s">
        <v>1066</v>
      </c>
      <c r="B1171" s="147" t="s">
        <v>433</v>
      </c>
      <c r="C1171" s="147" t="s">
        <v>436</v>
      </c>
      <c r="D1171" s="147" t="s">
        <v>767</v>
      </c>
      <c r="E1171" s="147" t="s">
        <v>529</v>
      </c>
      <c r="F1171" s="155">
        <f>F1172</f>
        <v>100</v>
      </c>
      <c r="G1171" s="155">
        <f t="shared" si="71"/>
        <v>100</v>
      </c>
      <c r="H1171" s="176"/>
    </row>
    <row r="1172" spans="1:8" ht="36">
      <c r="A1172" s="157" t="s">
        <v>920</v>
      </c>
      <c r="B1172" s="147" t="s">
        <v>433</v>
      </c>
      <c r="C1172" s="147" t="s">
        <v>436</v>
      </c>
      <c r="D1172" s="147" t="s">
        <v>767</v>
      </c>
      <c r="E1172" s="147" t="s">
        <v>429</v>
      </c>
      <c r="F1172" s="158">
        <f>120-15-5</f>
        <v>100</v>
      </c>
      <c r="G1172" s="155">
        <f t="shared" si="71"/>
        <v>100</v>
      </c>
      <c r="H1172" s="176"/>
    </row>
    <row r="1173" spans="1:8" ht="24">
      <c r="A1173" s="153" t="s">
        <v>530</v>
      </c>
      <c r="B1173" s="147" t="s">
        <v>433</v>
      </c>
      <c r="C1173" s="147" t="s">
        <v>436</v>
      </c>
      <c r="D1173" s="147" t="s">
        <v>767</v>
      </c>
      <c r="E1173" s="147" t="s">
        <v>531</v>
      </c>
      <c r="F1173" s="155">
        <f>F1174</f>
        <v>3420</v>
      </c>
      <c r="G1173" s="155">
        <f t="shared" si="71"/>
        <v>3420</v>
      </c>
      <c r="H1173" s="176"/>
    </row>
    <row r="1174" spans="1:8" ht="24">
      <c r="A1174" s="152" t="s">
        <v>91</v>
      </c>
      <c r="B1174" s="147" t="s">
        <v>433</v>
      </c>
      <c r="C1174" s="147" t="s">
        <v>436</v>
      </c>
      <c r="D1174" s="147" t="s">
        <v>767</v>
      </c>
      <c r="E1174" s="147" t="s">
        <v>38</v>
      </c>
      <c r="F1174" s="158">
        <f>3420</f>
        <v>3420</v>
      </c>
      <c r="G1174" s="155">
        <f t="shared" si="71"/>
        <v>3420</v>
      </c>
      <c r="H1174" s="176"/>
    </row>
    <row r="1175" spans="1:8" ht="48">
      <c r="A1175" s="157" t="s">
        <v>891</v>
      </c>
      <c r="B1175" s="147" t="s">
        <v>433</v>
      </c>
      <c r="C1175" s="147" t="s">
        <v>436</v>
      </c>
      <c r="D1175" s="147" t="s">
        <v>768</v>
      </c>
      <c r="E1175" s="147"/>
      <c r="F1175" s="155">
        <f>F1176+F1178</f>
        <v>29.9</v>
      </c>
      <c r="G1175" s="155">
        <f t="shared" si="71"/>
        <v>29.9</v>
      </c>
      <c r="H1175" s="176"/>
    </row>
    <row r="1176" spans="1:8" ht="24">
      <c r="A1176" s="157" t="s">
        <v>1066</v>
      </c>
      <c r="B1176" s="147" t="s">
        <v>433</v>
      </c>
      <c r="C1176" s="147" t="s">
        <v>436</v>
      </c>
      <c r="D1176" s="147" t="s">
        <v>768</v>
      </c>
      <c r="E1176" s="147" t="s">
        <v>529</v>
      </c>
      <c r="F1176" s="155">
        <f>F1177</f>
        <v>1.4</v>
      </c>
      <c r="G1176" s="155">
        <f t="shared" si="71"/>
        <v>1.4</v>
      </c>
      <c r="H1176" s="176"/>
    </row>
    <row r="1177" spans="1:8" ht="36">
      <c r="A1177" s="157" t="s">
        <v>920</v>
      </c>
      <c r="B1177" s="147" t="s">
        <v>433</v>
      </c>
      <c r="C1177" s="147" t="s">
        <v>436</v>
      </c>
      <c r="D1177" s="147" t="s">
        <v>768</v>
      </c>
      <c r="E1177" s="147" t="s">
        <v>429</v>
      </c>
      <c r="F1177" s="158">
        <v>1.4</v>
      </c>
      <c r="G1177" s="155">
        <f t="shared" si="71"/>
        <v>1.4</v>
      </c>
      <c r="H1177" s="176"/>
    </row>
    <row r="1178" spans="1:8" ht="24">
      <c r="A1178" s="153" t="s">
        <v>530</v>
      </c>
      <c r="B1178" s="147" t="s">
        <v>433</v>
      </c>
      <c r="C1178" s="147" t="s">
        <v>436</v>
      </c>
      <c r="D1178" s="147" t="s">
        <v>768</v>
      </c>
      <c r="E1178" s="147" t="s">
        <v>531</v>
      </c>
      <c r="F1178" s="155">
        <f>F1179</f>
        <v>28.5</v>
      </c>
      <c r="G1178" s="155">
        <f t="shared" si="71"/>
        <v>28.5</v>
      </c>
      <c r="H1178" s="176"/>
    </row>
    <row r="1179" spans="1:8" ht="24">
      <c r="A1179" s="152" t="s">
        <v>91</v>
      </c>
      <c r="B1179" s="147" t="s">
        <v>433</v>
      </c>
      <c r="C1179" s="147" t="s">
        <v>436</v>
      </c>
      <c r="D1179" s="147" t="s">
        <v>768</v>
      </c>
      <c r="E1179" s="147" t="s">
        <v>38</v>
      </c>
      <c r="F1179" s="158">
        <v>28.5</v>
      </c>
      <c r="G1179" s="155">
        <f>F1179-H1179</f>
        <v>28.5</v>
      </c>
      <c r="H1179" s="176"/>
    </row>
    <row r="1180" spans="1:8" ht="84">
      <c r="A1180" s="152" t="s">
        <v>1081</v>
      </c>
      <c r="B1180" s="147" t="s">
        <v>433</v>
      </c>
      <c r="C1180" s="147" t="s">
        <v>436</v>
      </c>
      <c r="D1180" s="147" t="s">
        <v>1082</v>
      </c>
      <c r="E1180" s="147"/>
      <c r="F1180" s="155">
        <f>F1181</f>
        <v>6500</v>
      </c>
      <c r="G1180" s="155">
        <f>G1181</f>
        <v>6500</v>
      </c>
      <c r="H1180" s="176"/>
    </row>
    <row r="1181" spans="1:8" ht="24">
      <c r="A1181" s="153" t="s">
        <v>530</v>
      </c>
      <c r="B1181" s="147" t="s">
        <v>433</v>
      </c>
      <c r="C1181" s="147" t="s">
        <v>436</v>
      </c>
      <c r="D1181" s="147" t="s">
        <v>1082</v>
      </c>
      <c r="E1181" s="147" t="s">
        <v>531</v>
      </c>
      <c r="F1181" s="155">
        <f>F1182</f>
        <v>6500</v>
      </c>
      <c r="G1181" s="155">
        <f>G1182</f>
        <v>6500</v>
      </c>
      <c r="H1181" s="176"/>
    </row>
    <row r="1182" spans="1:8" ht="24">
      <c r="A1182" s="152" t="s">
        <v>91</v>
      </c>
      <c r="B1182" s="147" t="s">
        <v>433</v>
      </c>
      <c r="C1182" s="147" t="s">
        <v>436</v>
      </c>
      <c r="D1182" s="147" t="s">
        <v>1082</v>
      </c>
      <c r="E1182" s="147" t="s">
        <v>38</v>
      </c>
      <c r="F1182" s="158">
        <f>6500</f>
        <v>6500</v>
      </c>
      <c r="G1182" s="155">
        <f>F1182</f>
        <v>6500</v>
      </c>
      <c r="H1182" s="176"/>
    </row>
    <row r="1183" spans="1:8" ht="36">
      <c r="A1183" s="152" t="s">
        <v>769</v>
      </c>
      <c r="B1183" s="147" t="s">
        <v>433</v>
      </c>
      <c r="C1183" s="147" t="s">
        <v>436</v>
      </c>
      <c r="D1183" s="147" t="s">
        <v>770</v>
      </c>
      <c r="E1183" s="147"/>
      <c r="F1183" s="155">
        <f>F1184+F1187+F1190+F1193+F1198+F1203+F1206+F1209</f>
        <v>15932</v>
      </c>
      <c r="G1183" s="155">
        <f>G1184+G1187+G1190+G1193+G1198+G1203+G1206</f>
        <v>15804</v>
      </c>
      <c r="H1183" s="176"/>
    </row>
    <row r="1184" spans="1:8" ht="120">
      <c r="A1184" s="157" t="s">
        <v>971</v>
      </c>
      <c r="B1184" s="147" t="s">
        <v>433</v>
      </c>
      <c r="C1184" s="147" t="s">
        <v>436</v>
      </c>
      <c r="D1184" s="147" t="s">
        <v>771</v>
      </c>
      <c r="E1184" s="147"/>
      <c r="F1184" s="155">
        <f>F1185</f>
        <v>1462</v>
      </c>
      <c r="G1184" s="155">
        <f aca="true" t="shared" si="72" ref="G1184:G1208">F1184-H1184</f>
        <v>1462</v>
      </c>
      <c r="H1184" s="176"/>
    </row>
    <row r="1185" spans="1:8" ht="24">
      <c r="A1185" s="153" t="s">
        <v>530</v>
      </c>
      <c r="B1185" s="147" t="s">
        <v>433</v>
      </c>
      <c r="C1185" s="147" t="s">
        <v>436</v>
      </c>
      <c r="D1185" s="147" t="s">
        <v>771</v>
      </c>
      <c r="E1185" s="147" t="s">
        <v>531</v>
      </c>
      <c r="F1185" s="155">
        <f>F1186</f>
        <v>1462</v>
      </c>
      <c r="G1185" s="155">
        <f t="shared" si="72"/>
        <v>1462</v>
      </c>
      <c r="H1185" s="176"/>
    </row>
    <row r="1186" spans="1:8" ht="24">
      <c r="A1186" s="152" t="s">
        <v>91</v>
      </c>
      <c r="B1186" s="147" t="s">
        <v>433</v>
      </c>
      <c r="C1186" s="147" t="s">
        <v>436</v>
      </c>
      <c r="D1186" s="147" t="s">
        <v>771</v>
      </c>
      <c r="E1186" s="147" t="s">
        <v>38</v>
      </c>
      <c r="F1186" s="158">
        <v>1462</v>
      </c>
      <c r="G1186" s="155">
        <f t="shared" si="72"/>
        <v>1462</v>
      </c>
      <c r="H1186" s="176"/>
    </row>
    <row r="1187" spans="1:8" ht="48">
      <c r="A1187" s="157" t="s">
        <v>407</v>
      </c>
      <c r="B1187" s="147" t="s">
        <v>433</v>
      </c>
      <c r="C1187" s="147" t="s">
        <v>436</v>
      </c>
      <c r="D1187" s="147" t="s">
        <v>772</v>
      </c>
      <c r="E1187" s="147"/>
      <c r="F1187" s="155">
        <f>F1188</f>
        <v>336</v>
      </c>
      <c r="G1187" s="155">
        <f t="shared" si="72"/>
        <v>336</v>
      </c>
      <c r="H1187" s="176"/>
    </row>
    <row r="1188" spans="1:8" ht="24">
      <c r="A1188" s="153" t="s">
        <v>530</v>
      </c>
      <c r="B1188" s="147" t="s">
        <v>433</v>
      </c>
      <c r="C1188" s="147" t="s">
        <v>436</v>
      </c>
      <c r="D1188" s="147" t="s">
        <v>772</v>
      </c>
      <c r="E1188" s="147" t="s">
        <v>531</v>
      </c>
      <c r="F1188" s="155">
        <f>F1189</f>
        <v>336</v>
      </c>
      <c r="G1188" s="155">
        <f t="shared" si="72"/>
        <v>336</v>
      </c>
      <c r="H1188" s="176"/>
    </row>
    <row r="1189" spans="1:8" ht="24">
      <c r="A1189" s="152" t="s">
        <v>91</v>
      </c>
      <c r="B1189" s="147" t="s">
        <v>433</v>
      </c>
      <c r="C1189" s="147" t="s">
        <v>436</v>
      </c>
      <c r="D1189" s="147" t="s">
        <v>772</v>
      </c>
      <c r="E1189" s="147" t="s">
        <v>38</v>
      </c>
      <c r="F1189" s="158">
        <v>336</v>
      </c>
      <c r="G1189" s="155">
        <f t="shared" si="72"/>
        <v>336</v>
      </c>
      <c r="H1189" s="176"/>
    </row>
    <row r="1190" spans="1:8" ht="24">
      <c r="A1190" s="157" t="s">
        <v>502</v>
      </c>
      <c r="B1190" s="147" t="s">
        <v>433</v>
      </c>
      <c r="C1190" s="147" t="s">
        <v>436</v>
      </c>
      <c r="D1190" s="147" t="s">
        <v>773</v>
      </c>
      <c r="E1190" s="147"/>
      <c r="F1190" s="155">
        <f>F1191</f>
        <v>100</v>
      </c>
      <c r="G1190" s="155">
        <f t="shared" si="72"/>
        <v>100</v>
      </c>
      <c r="H1190" s="175"/>
    </row>
    <row r="1191" spans="1:8" ht="24">
      <c r="A1191" s="153" t="s">
        <v>530</v>
      </c>
      <c r="B1191" s="147" t="s">
        <v>433</v>
      </c>
      <c r="C1191" s="147" t="s">
        <v>436</v>
      </c>
      <c r="D1191" s="147" t="s">
        <v>773</v>
      </c>
      <c r="E1191" s="147" t="s">
        <v>531</v>
      </c>
      <c r="F1191" s="155">
        <f>F1192</f>
        <v>100</v>
      </c>
      <c r="G1191" s="155">
        <f t="shared" si="72"/>
        <v>100</v>
      </c>
      <c r="H1191" s="175"/>
    </row>
    <row r="1192" spans="1:8" ht="24">
      <c r="A1192" s="152" t="s">
        <v>91</v>
      </c>
      <c r="B1192" s="147" t="s">
        <v>433</v>
      </c>
      <c r="C1192" s="147" t="s">
        <v>436</v>
      </c>
      <c r="D1192" s="147" t="s">
        <v>773</v>
      </c>
      <c r="E1192" s="147" t="s">
        <v>38</v>
      </c>
      <c r="F1192" s="158">
        <v>100</v>
      </c>
      <c r="G1192" s="155">
        <f t="shared" si="72"/>
        <v>100</v>
      </c>
      <c r="H1192" s="175"/>
    </row>
    <row r="1193" spans="1:8" ht="36">
      <c r="A1193" s="157" t="s">
        <v>262</v>
      </c>
      <c r="B1193" s="147" t="s">
        <v>433</v>
      </c>
      <c r="C1193" s="147" t="s">
        <v>436</v>
      </c>
      <c r="D1193" s="147" t="s">
        <v>774</v>
      </c>
      <c r="E1193" s="147"/>
      <c r="F1193" s="155">
        <f>F1194+F1196</f>
        <v>5636</v>
      </c>
      <c r="G1193" s="155">
        <f t="shared" si="72"/>
        <v>5636</v>
      </c>
      <c r="H1193" s="155"/>
    </row>
    <row r="1194" spans="1:8" ht="24">
      <c r="A1194" s="157" t="s">
        <v>1066</v>
      </c>
      <c r="B1194" s="147" t="s">
        <v>433</v>
      </c>
      <c r="C1194" s="147" t="s">
        <v>436</v>
      </c>
      <c r="D1194" s="147" t="s">
        <v>774</v>
      </c>
      <c r="E1194" s="147" t="s">
        <v>529</v>
      </c>
      <c r="F1194" s="155">
        <f>F1195</f>
        <v>20</v>
      </c>
      <c r="G1194" s="155">
        <f t="shared" si="72"/>
        <v>20</v>
      </c>
      <c r="H1194" s="155"/>
    </row>
    <row r="1195" spans="1:8" ht="36">
      <c r="A1195" s="157" t="s">
        <v>920</v>
      </c>
      <c r="B1195" s="147" t="s">
        <v>433</v>
      </c>
      <c r="C1195" s="147" t="s">
        <v>436</v>
      </c>
      <c r="D1195" s="147" t="s">
        <v>774</v>
      </c>
      <c r="E1195" s="147" t="s">
        <v>429</v>
      </c>
      <c r="F1195" s="158">
        <v>20</v>
      </c>
      <c r="G1195" s="155">
        <f t="shared" si="72"/>
        <v>20</v>
      </c>
      <c r="H1195" s="155"/>
    </row>
    <row r="1196" spans="1:8" ht="24">
      <c r="A1196" s="153" t="s">
        <v>530</v>
      </c>
      <c r="B1196" s="147" t="s">
        <v>433</v>
      </c>
      <c r="C1196" s="147" t="s">
        <v>436</v>
      </c>
      <c r="D1196" s="147" t="s">
        <v>774</v>
      </c>
      <c r="E1196" s="147" t="s">
        <v>531</v>
      </c>
      <c r="F1196" s="155">
        <f>F1197</f>
        <v>5616</v>
      </c>
      <c r="G1196" s="155">
        <f t="shared" si="72"/>
        <v>5616</v>
      </c>
      <c r="H1196" s="155"/>
    </row>
    <row r="1197" spans="1:8" ht="24">
      <c r="A1197" s="152" t="s">
        <v>91</v>
      </c>
      <c r="B1197" s="147" t="s">
        <v>433</v>
      </c>
      <c r="C1197" s="147" t="s">
        <v>436</v>
      </c>
      <c r="D1197" s="147" t="s">
        <v>774</v>
      </c>
      <c r="E1197" s="147" t="s">
        <v>38</v>
      </c>
      <c r="F1197" s="158">
        <f>980+3046+780+30+210+60+60+450</f>
        <v>5616</v>
      </c>
      <c r="G1197" s="155">
        <f t="shared" si="72"/>
        <v>5616</v>
      </c>
      <c r="H1197" s="158"/>
    </row>
    <row r="1198" spans="1:8" ht="24">
      <c r="A1198" s="157" t="s">
        <v>492</v>
      </c>
      <c r="B1198" s="147" t="s">
        <v>433</v>
      </c>
      <c r="C1198" s="147" t="s">
        <v>436</v>
      </c>
      <c r="D1198" s="147" t="s">
        <v>775</v>
      </c>
      <c r="E1198" s="147"/>
      <c r="F1198" s="155">
        <f>F1199+F1201</f>
        <v>3000</v>
      </c>
      <c r="G1198" s="155">
        <f t="shared" si="72"/>
        <v>3000</v>
      </c>
      <c r="H1198" s="158"/>
    </row>
    <row r="1199" spans="1:8" ht="24">
      <c r="A1199" s="157" t="s">
        <v>1066</v>
      </c>
      <c r="B1199" s="147" t="s">
        <v>433</v>
      </c>
      <c r="C1199" s="147" t="s">
        <v>436</v>
      </c>
      <c r="D1199" s="147" t="s">
        <v>775</v>
      </c>
      <c r="E1199" s="147" t="s">
        <v>529</v>
      </c>
      <c r="F1199" s="155">
        <f>F1200</f>
        <v>50</v>
      </c>
      <c r="G1199" s="155">
        <f t="shared" si="72"/>
        <v>50</v>
      </c>
      <c r="H1199" s="158"/>
    </row>
    <row r="1200" spans="1:8" ht="36">
      <c r="A1200" s="157" t="s">
        <v>920</v>
      </c>
      <c r="B1200" s="147" t="s">
        <v>433</v>
      </c>
      <c r="C1200" s="147" t="s">
        <v>436</v>
      </c>
      <c r="D1200" s="147" t="s">
        <v>775</v>
      </c>
      <c r="E1200" s="147" t="s">
        <v>429</v>
      </c>
      <c r="F1200" s="158">
        <v>50</v>
      </c>
      <c r="G1200" s="155">
        <f t="shared" si="72"/>
        <v>50</v>
      </c>
      <c r="H1200" s="158"/>
    </row>
    <row r="1201" spans="1:8" ht="24">
      <c r="A1201" s="153" t="s">
        <v>530</v>
      </c>
      <c r="B1201" s="147" t="s">
        <v>433</v>
      </c>
      <c r="C1201" s="147" t="s">
        <v>436</v>
      </c>
      <c r="D1201" s="147" t="s">
        <v>775</v>
      </c>
      <c r="E1201" s="147" t="s">
        <v>531</v>
      </c>
      <c r="F1201" s="155">
        <f>F1202</f>
        <v>2950</v>
      </c>
      <c r="G1201" s="155">
        <f t="shared" si="72"/>
        <v>2950</v>
      </c>
      <c r="H1201" s="158"/>
    </row>
    <row r="1202" spans="1:8" ht="24">
      <c r="A1202" s="152" t="s">
        <v>91</v>
      </c>
      <c r="B1202" s="147" t="s">
        <v>433</v>
      </c>
      <c r="C1202" s="147" t="s">
        <v>436</v>
      </c>
      <c r="D1202" s="147" t="s">
        <v>775</v>
      </c>
      <c r="E1202" s="147" t="s">
        <v>38</v>
      </c>
      <c r="F1202" s="158">
        <f>2950</f>
        <v>2950</v>
      </c>
      <c r="G1202" s="155">
        <f t="shared" si="72"/>
        <v>2950</v>
      </c>
      <c r="H1202" s="158"/>
    </row>
    <row r="1203" spans="1:8" ht="72">
      <c r="A1203" s="182" t="s">
        <v>776</v>
      </c>
      <c r="B1203" s="147" t="s">
        <v>433</v>
      </c>
      <c r="C1203" s="147" t="s">
        <v>436</v>
      </c>
      <c r="D1203" s="147" t="s">
        <v>777</v>
      </c>
      <c r="E1203" s="147"/>
      <c r="F1203" s="155">
        <f>F1204</f>
        <v>1270</v>
      </c>
      <c r="G1203" s="155">
        <f t="shared" si="72"/>
        <v>1270</v>
      </c>
      <c r="H1203" s="158"/>
    </row>
    <row r="1204" spans="1:8" ht="24">
      <c r="A1204" s="153" t="s">
        <v>530</v>
      </c>
      <c r="B1204" s="147" t="s">
        <v>433</v>
      </c>
      <c r="C1204" s="147" t="s">
        <v>436</v>
      </c>
      <c r="D1204" s="147" t="s">
        <v>777</v>
      </c>
      <c r="E1204" s="147" t="s">
        <v>531</v>
      </c>
      <c r="F1204" s="155">
        <f>F1205</f>
        <v>1270</v>
      </c>
      <c r="G1204" s="155">
        <f t="shared" si="72"/>
        <v>1270</v>
      </c>
      <c r="H1204" s="158"/>
    </row>
    <row r="1205" spans="1:8" ht="24">
      <c r="A1205" s="152" t="s">
        <v>171</v>
      </c>
      <c r="B1205" s="147" t="s">
        <v>433</v>
      </c>
      <c r="C1205" s="147" t="s">
        <v>436</v>
      </c>
      <c r="D1205" s="147" t="s">
        <v>777</v>
      </c>
      <c r="E1205" s="147" t="s">
        <v>399</v>
      </c>
      <c r="F1205" s="158">
        <v>1270</v>
      </c>
      <c r="G1205" s="155">
        <f t="shared" si="72"/>
        <v>1270</v>
      </c>
      <c r="H1205" s="158"/>
    </row>
    <row r="1206" spans="1:8" ht="36">
      <c r="A1206" s="157" t="s">
        <v>1115</v>
      </c>
      <c r="B1206" s="147" t="s">
        <v>433</v>
      </c>
      <c r="C1206" s="147" t="s">
        <v>436</v>
      </c>
      <c r="D1206" s="147" t="s">
        <v>778</v>
      </c>
      <c r="E1206" s="147"/>
      <c r="F1206" s="155">
        <f>F1207</f>
        <v>4000</v>
      </c>
      <c r="G1206" s="155">
        <f t="shared" si="72"/>
        <v>4000</v>
      </c>
      <c r="H1206" s="155"/>
    </row>
    <row r="1207" spans="1:8" ht="24">
      <c r="A1207" s="153" t="s">
        <v>530</v>
      </c>
      <c r="B1207" s="147" t="s">
        <v>433</v>
      </c>
      <c r="C1207" s="147" t="s">
        <v>436</v>
      </c>
      <c r="D1207" s="147" t="s">
        <v>778</v>
      </c>
      <c r="E1207" s="147" t="s">
        <v>531</v>
      </c>
      <c r="F1207" s="155">
        <f>F1208</f>
        <v>4000</v>
      </c>
      <c r="G1207" s="155">
        <f t="shared" si="72"/>
        <v>4000</v>
      </c>
      <c r="H1207" s="155"/>
    </row>
    <row r="1208" spans="1:8" ht="24">
      <c r="A1208" s="152" t="s">
        <v>91</v>
      </c>
      <c r="B1208" s="147" t="s">
        <v>433</v>
      </c>
      <c r="C1208" s="147" t="s">
        <v>436</v>
      </c>
      <c r="D1208" s="147" t="s">
        <v>778</v>
      </c>
      <c r="E1208" s="147" t="s">
        <v>38</v>
      </c>
      <c r="F1208" s="158">
        <v>4000</v>
      </c>
      <c r="G1208" s="155">
        <f t="shared" si="72"/>
        <v>4000</v>
      </c>
      <c r="H1208" s="155"/>
    </row>
    <row r="1209" spans="1:8" ht="48">
      <c r="A1209" s="152" t="s">
        <v>1700</v>
      </c>
      <c r="B1209" s="147" t="s">
        <v>433</v>
      </c>
      <c r="C1209" s="147" t="s">
        <v>436</v>
      </c>
      <c r="D1209" s="147" t="s">
        <v>1701</v>
      </c>
      <c r="E1209" s="147"/>
      <c r="F1209" s="155">
        <f>F1210</f>
        <v>128</v>
      </c>
      <c r="G1209" s="155">
        <f>F1209-H1209</f>
        <v>128</v>
      </c>
      <c r="H1209" s="155"/>
    </row>
    <row r="1210" spans="1:8" ht="24">
      <c r="A1210" s="153" t="s">
        <v>530</v>
      </c>
      <c r="B1210" s="147" t="s">
        <v>433</v>
      </c>
      <c r="C1210" s="147" t="s">
        <v>436</v>
      </c>
      <c r="D1210" s="147" t="s">
        <v>1701</v>
      </c>
      <c r="E1210" s="147" t="s">
        <v>531</v>
      </c>
      <c r="F1210" s="155">
        <f>F1211</f>
        <v>128</v>
      </c>
      <c r="G1210" s="155">
        <f>F1210-H1210</f>
        <v>128</v>
      </c>
      <c r="H1210" s="155"/>
    </row>
    <row r="1211" spans="1:8" ht="24">
      <c r="A1211" s="152" t="s">
        <v>91</v>
      </c>
      <c r="B1211" s="147" t="s">
        <v>433</v>
      </c>
      <c r="C1211" s="147" t="s">
        <v>436</v>
      </c>
      <c r="D1211" s="147" t="s">
        <v>1701</v>
      </c>
      <c r="E1211" s="147" t="s">
        <v>38</v>
      </c>
      <c r="F1211" s="158">
        <v>128</v>
      </c>
      <c r="G1211" s="155">
        <f>F1211-H1211</f>
        <v>128</v>
      </c>
      <c r="H1211" s="155"/>
    </row>
    <row r="1212" spans="1:8" ht="72">
      <c r="A1212" s="152" t="s">
        <v>53</v>
      </c>
      <c r="B1212" s="147" t="s">
        <v>433</v>
      </c>
      <c r="C1212" s="147" t="s">
        <v>436</v>
      </c>
      <c r="D1212" s="147" t="s">
        <v>54</v>
      </c>
      <c r="E1212" s="147"/>
      <c r="F1212" s="155">
        <f>F1213+F1219+F1224</f>
        <v>34854.7</v>
      </c>
      <c r="G1212" s="155">
        <f>G1213+G1219+G1224</f>
        <v>724.7</v>
      </c>
      <c r="H1212" s="155">
        <f>H1224</f>
        <v>34130</v>
      </c>
    </row>
    <row r="1213" spans="1:8" ht="39" customHeight="1">
      <c r="A1213" s="182" t="s">
        <v>919</v>
      </c>
      <c r="B1213" s="147" t="s">
        <v>433</v>
      </c>
      <c r="C1213" s="147" t="s">
        <v>436</v>
      </c>
      <c r="D1213" s="147" t="s">
        <v>55</v>
      </c>
      <c r="E1213" s="147"/>
      <c r="F1213" s="155">
        <f>F1214+F1216</f>
        <v>403</v>
      </c>
      <c r="G1213" s="155">
        <f aca="true" t="shared" si="73" ref="G1213:G1223">F1213-H1213</f>
        <v>403</v>
      </c>
      <c r="H1213" s="176"/>
    </row>
    <row r="1214" spans="1:8" ht="24">
      <c r="A1214" s="157" t="s">
        <v>1066</v>
      </c>
      <c r="B1214" s="147" t="s">
        <v>433</v>
      </c>
      <c r="C1214" s="147" t="s">
        <v>436</v>
      </c>
      <c r="D1214" s="147" t="s">
        <v>55</v>
      </c>
      <c r="E1214" s="147" t="s">
        <v>529</v>
      </c>
      <c r="F1214" s="155">
        <f>F1215</f>
        <v>3</v>
      </c>
      <c r="G1214" s="155">
        <f t="shared" si="73"/>
        <v>3</v>
      </c>
      <c r="H1214" s="176"/>
    </row>
    <row r="1215" spans="1:8" ht="36">
      <c r="A1215" s="157" t="s">
        <v>920</v>
      </c>
      <c r="B1215" s="147" t="s">
        <v>433</v>
      </c>
      <c r="C1215" s="147" t="s">
        <v>436</v>
      </c>
      <c r="D1215" s="147" t="s">
        <v>55</v>
      </c>
      <c r="E1215" s="147" t="s">
        <v>429</v>
      </c>
      <c r="F1215" s="158">
        <v>3</v>
      </c>
      <c r="G1215" s="155">
        <f t="shared" si="73"/>
        <v>3</v>
      </c>
      <c r="H1215" s="176"/>
    </row>
    <row r="1216" spans="1:8" ht="24">
      <c r="A1216" s="153" t="s">
        <v>530</v>
      </c>
      <c r="B1216" s="147" t="s">
        <v>433</v>
      </c>
      <c r="C1216" s="147" t="s">
        <v>436</v>
      </c>
      <c r="D1216" s="147" t="s">
        <v>55</v>
      </c>
      <c r="E1216" s="147" t="s">
        <v>531</v>
      </c>
      <c r="F1216" s="155">
        <f>F1217</f>
        <v>400</v>
      </c>
      <c r="G1216" s="155">
        <f t="shared" si="73"/>
        <v>400</v>
      </c>
      <c r="H1216" s="176"/>
    </row>
    <row r="1217" spans="1:8" ht="24">
      <c r="A1217" s="152" t="s">
        <v>91</v>
      </c>
      <c r="B1217" s="147" t="s">
        <v>433</v>
      </c>
      <c r="C1217" s="147" t="s">
        <v>436</v>
      </c>
      <c r="D1217" s="147" t="s">
        <v>55</v>
      </c>
      <c r="E1217" s="147" t="s">
        <v>531</v>
      </c>
      <c r="F1217" s="155">
        <v>400</v>
      </c>
      <c r="G1217" s="155">
        <f t="shared" si="73"/>
        <v>400</v>
      </c>
      <c r="H1217" s="176"/>
    </row>
    <row r="1218" spans="1:8" ht="36">
      <c r="A1218" s="157" t="s">
        <v>348</v>
      </c>
      <c r="B1218" s="147" t="s">
        <v>433</v>
      </c>
      <c r="C1218" s="147" t="s">
        <v>436</v>
      </c>
      <c r="D1218" s="147" t="s">
        <v>55</v>
      </c>
      <c r="E1218" s="147" t="s">
        <v>38</v>
      </c>
      <c r="F1218" s="158">
        <v>400</v>
      </c>
      <c r="G1218" s="155">
        <f t="shared" si="73"/>
        <v>400</v>
      </c>
      <c r="H1218" s="176"/>
    </row>
    <row r="1219" spans="1:8" ht="48">
      <c r="A1219" s="152" t="s">
        <v>921</v>
      </c>
      <c r="B1219" s="147" t="s">
        <v>433</v>
      </c>
      <c r="C1219" s="147" t="s">
        <v>436</v>
      </c>
      <c r="D1219" s="147" t="s">
        <v>56</v>
      </c>
      <c r="E1219" s="147"/>
      <c r="F1219" s="155">
        <f>F1220+F1222</f>
        <v>321.7</v>
      </c>
      <c r="G1219" s="155">
        <f t="shared" si="73"/>
        <v>321.7</v>
      </c>
      <c r="H1219" s="176"/>
    </row>
    <row r="1220" spans="1:8" ht="24">
      <c r="A1220" s="157" t="s">
        <v>1066</v>
      </c>
      <c r="B1220" s="147" t="s">
        <v>433</v>
      </c>
      <c r="C1220" s="147" t="s">
        <v>436</v>
      </c>
      <c r="D1220" s="147" t="s">
        <v>56</v>
      </c>
      <c r="E1220" s="147" t="s">
        <v>529</v>
      </c>
      <c r="F1220" s="155">
        <f>F1221</f>
        <v>2.4</v>
      </c>
      <c r="G1220" s="155">
        <f t="shared" si="73"/>
        <v>2.4</v>
      </c>
      <c r="H1220" s="176"/>
    </row>
    <row r="1221" spans="1:8" ht="36">
      <c r="A1221" s="157" t="s">
        <v>920</v>
      </c>
      <c r="B1221" s="147" t="s">
        <v>433</v>
      </c>
      <c r="C1221" s="147" t="s">
        <v>436</v>
      </c>
      <c r="D1221" s="147" t="s">
        <v>56</v>
      </c>
      <c r="E1221" s="147" t="s">
        <v>429</v>
      </c>
      <c r="F1221" s="158">
        <v>2.4</v>
      </c>
      <c r="G1221" s="155">
        <f t="shared" si="73"/>
        <v>2.4</v>
      </c>
      <c r="H1221" s="176"/>
    </row>
    <row r="1222" spans="1:8" ht="24">
      <c r="A1222" s="195" t="s">
        <v>530</v>
      </c>
      <c r="B1222" s="147" t="s">
        <v>433</v>
      </c>
      <c r="C1222" s="147" t="s">
        <v>436</v>
      </c>
      <c r="D1222" s="147" t="s">
        <v>56</v>
      </c>
      <c r="E1222" s="147" t="s">
        <v>531</v>
      </c>
      <c r="F1222" s="155">
        <f>F1223</f>
        <v>319.3</v>
      </c>
      <c r="G1222" s="155">
        <f t="shared" si="73"/>
        <v>319.3</v>
      </c>
      <c r="H1222" s="176"/>
    </row>
    <row r="1223" spans="1:8" ht="24">
      <c r="A1223" s="152" t="s">
        <v>91</v>
      </c>
      <c r="B1223" s="147" t="s">
        <v>433</v>
      </c>
      <c r="C1223" s="147" t="s">
        <v>436</v>
      </c>
      <c r="D1223" s="147" t="s">
        <v>56</v>
      </c>
      <c r="E1223" s="147" t="s">
        <v>38</v>
      </c>
      <c r="F1223" s="158">
        <v>319.3</v>
      </c>
      <c r="G1223" s="155">
        <f t="shared" si="73"/>
        <v>319.3</v>
      </c>
      <c r="H1223" s="176"/>
    </row>
    <row r="1224" spans="1:8" ht="48">
      <c r="A1224" s="153" t="s">
        <v>57</v>
      </c>
      <c r="B1224" s="147" t="s">
        <v>433</v>
      </c>
      <c r="C1224" s="147" t="s">
        <v>436</v>
      </c>
      <c r="D1224" s="147" t="s">
        <v>58</v>
      </c>
      <c r="E1224" s="147"/>
      <c r="F1224" s="155">
        <f>F1225+F1227</f>
        <v>34130</v>
      </c>
      <c r="G1224" s="155"/>
      <c r="H1224" s="155">
        <f>H1225+H1227</f>
        <v>34130</v>
      </c>
    </row>
    <row r="1225" spans="1:8" ht="24">
      <c r="A1225" s="157" t="s">
        <v>1066</v>
      </c>
      <c r="B1225" s="147" t="s">
        <v>433</v>
      </c>
      <c r="C1225" s="147" t="s">
        <v>436</v>
      </c>
      <c r="D1225" s="147" t="s">
        <v>58</v>
      </c>
      <c r="E1225" s="147" t="s">
        <v>529</v>
      </c>
      <c r="F1225" s="155">
        <f>F1226</f>
        <v>0</v>
      </c>
      <c r="G1225" s="155"/>
      <c r="H1225" s="155">
        <f>H1226</f>
        <v>0</v>
      </c>
    </row>
    <row r="1226" spans="1:8" ht="36">
      <c r="A1226" s="157" t="s">
        <v>920</v>
      </c>
      <c r="B1226" s="147" t="s">
        <v>433</v>
      </c>
      <c r="C1226" s="147" t="s">
        <v>436</v>
      </c>
      <c r="D1226" s="147" t="s">
        <v>58</v>
      </c>
      <c r="E1226" s="147" t="s">
        <v>429</v>
      </c>
      <c r="F1226" s="158">
        <f>254.1-254.1</f>
        <v>0</v>
      </c>
      <c r="G1226" s="155"/>
      <c r="H1226" s="158">
        <f>F1226</f>
        <v>0</v>
      </c>
    </row>
    <row r="1227" spans="1:8" ht="24">
      <c r="A1227" s="153" t="s">
        <v>530</v>
      </c>
      <c r="B1227" s="147" t="s">
        <v>433</v>
      </c>
      <c r="C1227" s="147" t="s">
        <v>436</v>
      </c>
      <c r="D1227" s="147" t="s">
        <v>58</v>
      </c>
      <c r="E1227" s="147" t="s">
        <v>531</v>
      </c>
      <c r="F1227" s="155">
        <f>F1228</f>
        <v>34130</v>
      </c>
      <c r="G1227" s="155"/>
      <c r="H1227" s="155">
        <f>H1228</f>
        <v>34130</v>
      </c>
    </row>
    <row r="1228" spans="1:8" ht="24">
      <c r="A1228" s="152" t="s">
        <v>171</v>
      </c>
      <c r="B1228" s="147" t="s">
        <v>433</v>
      </c>
      <c r="C1228" s="147" t="s">
        <v>436</v>
      </c>
      <c r="D1228" s="147" t="s">
        <v>58</v>
      </c>
      <c r="E1228" s="147" t="s">
        <v>399</v>
      </c>
      <c r="F1228" s="158">
        <f>33875.9+254.1</f>
        <v>34130</v>
      </c>
      <c r="G1228" s="155"/>
      <c r="H1228" s="158">
        <f>F1228</f>
        <v>34130</v>
      </c>
    </row>
    <row r="1229" spans="1:8" ht="36">
      <c r="A1229" s="152" t="s">
        <v>59</v>
      </c>
      <c r="B1229" s="147" t="s">
        <v>433</v>
      </c>
      <c r="C1229" s="147" t="s">
        <v>436</v>
      </c>
      <c r="D1229" s="147" t="s">
        <v>702</v>
      </c>
      <c r="E1229" s="147"/>
      <c r="F1229" s="155">
        <f>F1230</f>
        <v>5640</v>
      </c>
      <c r="G1229" s="155">
        <f>F1229</f>
        <v>5640</v>
      </c>
      <c r="H1229" s="158"/>
    </row>
    <row r="1230" spans="1:8" ht="24">
      <c r="A1230" s="174" t="s">
        <v>1003</v>
      </c>
      <c r="B1230" s="147" t="s">
        <v>433</v>
      </c>
      <c r="C1230" s="147" t="s">
        <v>436</v>
      </c>
      <c r="D1230" s="147" t="s">
        <v>60</v>
      </c>
      <c r="E1230" s="147"/>
      <c r="F1230" s="155">
        <f>F1231</f>
        <v>5640</v>
      </c>
      <c r="G1230" s="155">
        <f>F1230</f>
        <v>5640</v>
      </c>
      <c r="H1230" s="155"/>
    </row>
    <row r="1231" spans="1:8" ht="24">
      <c r="A1231" s="153" t="s">
        <v>530</v>
      </c>
      <c r="B1231" s="147" t="s">
        <v>433</v>
      </c>
      <c r="C1231" s="147" t="s">
        <v>436</v>
      </c>
      <c r="D1231" s="147" t="s">
        <v>60</v>
      </c>
      <c r="E1231" s="147" t="s">
        <v>531</v>
      </c>
      <c r="F1231" s="155">
        <f>F1232</f>
        <v>5640</v>
      </c>
      <c r="G1231" s="155">
        <f>F1231</f>
        <v>5640</v>
      </c>
      <c r="H1231" s="155"/>
    </row>
    <row r="1232" spans="1:8" ht="24">
      <c r="A1232" s="152" t="s">
        <v>91</v>
      </c>
      <c r="B1232" s="147" t="s">
        <v>433</v>
      </c>
      <c r="C1232" s="147" t="s">
        <v>436</v>
      </c>
      <c r="D1232" s="147" t="s">
        <v>60</v>
      </c>
      <c r="E1232" s="147" t="s">
        <v>38</v>
      </c>
      <c r="F1232" s="158">
        <f>5640</f>
        <v>5640</v>
      </c>
      <c r="G1232" s="155">
        <f>F1232</f>
        <v>5640</v>
      </c>
      <c r="H1232" s="155"/>
    </row>
    <row r="1233" spans="1:8" ht="24">
      <c r="A1233" s="152" t="s">
        <v>1357</v>
      </c>
      <c r="B1233" s="147" t="s">
        <v>433</v>
      </c>
      <c r="C1233" s="147" t="s">
        <v>436</v>
      </c>
      <c r="D1233" s="253" t="s">
        <v>704</v>
      </c>
      <c r="E1233" s="147"/>
      <c r="F1233" s="279">
        <f>F1234</f>
        <v>505</v>
      </c>
      <c r="G1233" s="155">
        <f>F1233-H1233</f>
        <v>505</v>
      </c>
      <c r="H1233" s="155"/>
    </row>
    <row r="1234" spans="1:8" ht="24">
      <c r="A1234" s="152" t="s">
        <v>703</v>
      </c>
      <c r="B1234" s="147" t="s">
        <v>433</v>
      </c>
      <c r="C1234" s="147" t="s">
        <v>436</v>
      </c>
      <c r="D1234" s="147" t="s">
        <v>705</v>
      </c>
      <c r="E1234" s="147"/>
      <c r="F1234" s="155">
        <f>F1235+F1239</f>
        <v>505</v>
      </c>
      <c r="G1234" s="155">
        <f>G1235+G1239</f>
        <v>505</v>
      </c>
      <c r="H1234" s="155"/>
    </row>
    <row r="1235" spans="1:8" ht="24">
      <c r="A1235" s="157" t="s">
        <v>521</v>
      </c>
      <c r="B1235" s="147" t="s">
        <v>433</v>
      </c>
      <c r="C1235" s="147" t="s">
        <v>436</v>
      </c>
      <c r="D1235" s="147" t="s">
        <v>1104</v>
      </c>
      <c r="E1235" s="147"/>
      <c r="F1235" s="155">
        <f>F1236</f>
        <v>0</v>
      </c>
      <c r="G1235" s="155">
        <f>F1235-H1235</f>
        <v>0</v>
      </c>
      <c r="H1235" s="155"/>
    </row>
    <row r="1236" spans="1:8" ht="24">
      <c r="A1236" s="328" t="s">
        <v>530</v>
      </c>
      <c r="B1236" s="147" t="s">
        <v>433</v>
      </c>
      <c r="C1236" s="147" t="s">
        <v>436</v>
      </c>
      <c r="D1236" s="147" t="s">
        <v>1104</v>
      </c>
      <c r="E1236" s="147" t="s">
        <v>531</v>
      </c>
      <c r="F1236" s="155">
        <f>F1238+F1237</f>
        <v>0</v>
      </c>
      <c r="G1236" s="155">
        <f>F1236-H1236</f>
        <v>0</v>
      </c>
      <c r="H1236" s="155"/>
    </row>
    <row r="1237" spans="1:8" ht="24">
      <c r="A1237" s="152" t="s">
        <v>91</v>
      </c>
      <c r="B1237" s="147" t="s">
        <v>433</v>
      </c>
      <c r="C1237" s="147" t="s">
        <v>436</v>
      </c>
      <c r="D1237" s="147" t="s">
        <v>1104</v>
      </c>
      <c r="E1237" s="147" t="s">
        <v>38</v>
      </c>
      <c r="F1237" s="158">
        <f>400-300-100</f>
        <v>0</v>
      </c>
      <c r="G1237" s="155">
        <f>F1237</f>
        <v>0</v>
      </c>
      <c r="H1237" s="155"/>
    </row>
    <row r="1238" spans="1:8" ht="24">
      <c r="A1238" s="152" t="s">
        <v>171</v>
      </c>
      <c r="B1238" s="147" t="s">
        <v>433</v>
      </c>
      <c r="C1238" s="147" t="s">
        <v>436</v>
      </c>
      <c r="D1238" s="147" t="s">
        <v>1104</v>
      </c>
      <c r="E1238" s="147" t="s">
        <v>399</v>
      </c>
      <c r="F1238" s="158">
        <f>500-500+100+300-400</f>
        <v>0</v>
      </c>
      <c r="G1238" s="155">
        <f>F1238-H1238</f>
        <v>0</v>
      </c>
      <c r="H1238" s="155"/>
    </row>
    <row r="1239" spans="1:8" ht="24">
      <c r="A1239" s="152" t="s">
        <v>1196</v>
      </c>
      <c r="B1239" s="147" t="s">
        <v>433</v>
      </c>
      <c r="C1239" s="147" t="s">
        <v>436</v>
      </c>
      <c r="D1239" s="147" t="s">
        <v>925</v>
      </c>
      <c r="E1239" s="147"/>
      <c r="F1239" s="325">
        <f>F1240</f>
        <v>505</v>
      </c>
      <c r="G1239" s="155">
        <f>G1240</f>
        <v>505</v>
      </c>
      <c r="H1239" s="155"/>
    </row>
    <row r="1240" spans="1:8" ht="24">
      <c r="A1240" s="195" t="s">
        <v>530</v>
      </c>
      <c r="B1240" s="147" t="s">
        <v>433</v>
      </c>
      <c r="C1240" s="147" t="s">
        <v>436</v>
      </c>
      <c r="D1240" s="147" t="s">
        <v>925</v>
      </c>
      <c r="E1240" s="147" t="s">
        <v>531</v>
      </c>
      <c r="F1240" s="325">
        <f>F1241</f>
        <v>505</v>
      </c>
      <c r="G1240" s="155">
        <f>G1241</f>
        <v>505</v>
      </c>
      <c r="H1240" s="155"/>
    </row>
    <row r="1241" spans="1:8" ht="24">
      <c r="A1241" s="152" t="s">
        <v>171</v>
      </c>
      <c r="B1241" s="147" t="s">
        <v>433</v>
      </c>
      <c r="C1241" s="147" t="s">
        <v>436</v>
      </c>
      <c r="D1241" s="147" t="s">
        <v>925</v>
      </c>
      <c r="E1241" s="147" t="s">
        <v>399</v>
      </c>
      <c r="F1241" s="158">
        <v>505</v>
      </c>
      <c r="G1241" s="155">
        <f>F1241</f>
        <v>505</v>
      </c>
      <c r="H1241" s="155"/>
    </row>
    <row r="1242" spans="1:8" ht="36">
      <c r="A1242" s="157" t="s">
        <v>1358</v>
      </c>
      <c r="B1242" s="147" t="s">
        <v>433</v>
      </c>
      <c r="C1242" s="147" t="s">
        <v>436</v>
      </c>
      <c r="D1242" s="147" t="s">
        <v>324</v>
      </c>
      <c r="E1242" s="147"/>
      <c r="F1242" s="279">
        <f>F1243+F1250</f>
        <v>43595.3</v>
      </c>
      <c r="G1242" s="155">
        <f>G1243</f>
        <v>8348.3</v>
      </c>
      <c r="H1242" s="155">
        <f>H1250</f>
        <v>35247</v>
      </c>
    </row>
    <row r="1243" spans="1:8" ht="48">
      <c r="A1243" s="157" t="s">
        <v>706</v>
      </c>
      <c r="B1243" s="147" t="s">
        <v>433</v>
      </c>
      <c r="C1243" s="147" t="s">
        <v>436</v>
      </c>
      <c r="D1243" s="147" t="s">
        <v>707</v>
      </c>
      <c r="E1243" s="147"/>
      <c r="F1243" s="155">
        <f>F1244+F1247</f>
        <v>8348.3</v>
      </c>
      <c r="G1243" s="155">
        <f>G1244+G1247</f>
        <v>8348.3</v>
      </c>
      <c r="H1243" s="155"/>
    </row>
    <row r="1244" spans="1:9" ht="36">
      <c r="A1244" s="157" t="s">
        <v>323</v>
      </c>
      <c r="B1244" s="147" t="s">
        <v>433</v>
      </c>
      <c r="C1244" s="147" t="s">
        <v>436</v>
      </c>
      <c r="D1244" s="147" t="s">
        <v>708</v>
      </c>
      <c r="E1244" s="147"/>
      <c r="F1244" s="155">
        <f>F1245</f>
        <v>2298.3</v>
      </c>
      <c r="G1244" s="155">
        <f>F1244-H1244</f>
        <v>2298.3</v>
      </c>
      <c r="H1244" s="155"/>
      <c r="I1244" s="283"/>
    </row>
    <row r="1245" spans="1:9" ht="24">
      <c r="A1245" s="153" t="s">
        <v>530</v>
      </c>
      <c r="B1245" s="147" t="s">
        <v>433</v>
      </c>
      <c r="C1245" s="147" t="s">
        <v>436</v>
      </c>
      <c r="D1245" s="147" t="s">
        <v>708</v>
      </c>
      <c r="E1245" s="147" t="s">
        <v>531</v>
      </c>
      <c r="F1245" s="155">
        <f>F1246</f>
        <v>2298.3</v>
      </c>
      <c r="G1245" s="155">
        <f>F1245-H1245</f>
        <v>2298.3</v>
      </c>
      <c r="H1245" s="155"/>
      <c r="I1245" s="283"/>
    </row>
    <row r="1246" spans="1:8" ht="24">
      <c r="A1246" s="152" t="s">
        <v>91</v>
      </c>
      <c r="B1246" s="147" t="s">
        <v>433</v>
      </c>
      <c r="C1246" s="147" t="s">
        <v>436</v>
      </c>
      <c r="D1246" s="147" t="s">
        <v>708</v>
      </c>
      <c r="E1246" s="147" t="s">
        <v>38</v>
      </c>
      <c r="F1246" s="158">
        <v>2298.3</v>
      </c>
      <c r="G1246" s="155">
        <f>F1246-H1246</f>
        <v>2298.3</v>
      </c>
      <c r="H1246" s="155"/>
    </row>
    <row r="1247" spans="1:9" ht="60">
      <c r="A1247" s="152" t="s">
        <v>1236</v>
      </c>
      <c r="B1247" s="147" t="s">
        <v>433</v>
      </c>
      <c r="C1247" s="147" t="s">
        <v>436</v>
      </c>
      <c r="D1247" s="147" t="s">
        <v>1237</v>
      </c>
      <c r="E1247" s="147"/>
      <c r="F1247" s="155">
        <f>F1248</f>
        <v>6050</v>
      </c>
      <c r="G1247" s="155">
        <f>F1247</f>
        <v>6050</v>
      </c>
      <c r="H1247" s="155"/>
      <c r="I1247" s="283"/>
    </row>
    <row r="1248" spans="1:9" ht="24">
      <c r="A1248" s="153" t="s">
        <v>530</v>
      </c>
      <c r="B1248" s="147" t="s">
        <v>433</v>
      </c>
      <c r="C1248" s="147" t="s">
        <v>436</v>
      </c>
      <c r="D1248" s="147" t="s">
        <v>1237</v>
      </c>
      <c r="E1248" s="147" t="s">
        <v>531</v>
      </c>
      <c r="F1248" s="155">
        <f>F1249</f>
        <v>6050</v>
      </c>
      <c r="G1248" s="155">
        <f>F1248</f>
        <v>6050</v>
      </c>
      <c r="H1248" s="155"/>
      <c r="I1248" s="283"/>
    </row>
    <row r="1249" spans="1:8" ht="24">
      <c r="A1249" s="152" t="s">
        <v>91</v>
      </c>
      <c r="B1249" s="147" t="s">
        <v>433</v>
      </c>
      <c r="C1249" s="147" t="s">
        <v>436</v>
      </c>
      <c r="D1249" s="147" t="s">
        <v>1237</v>
      </c>
      <c r="E1249" s="147" t="s">
        <v>38</v>
      </c>
      <c r="F1249" s="158">
        <f>2000+2500+1550</f>
        <v>6050</v>
      </c>
      <c r="G1249" s="155">
        <f>F1249</f>
        <v>6050</v>
      </c>
      <c r="H1249" s="155"/>
    </row>
    <row r="1250" spans="1:8" ht="36">
      <c r="A1250" s="152" t="s">
        <v>1442</v>
      </c>
      <c r="B1250" s="147" t="s">
        <v>433</v>
      </c>
      <c r="C1250" s="147" t="s">
        <v>436</v>
      </c>
      <c r="D1250" s="147" t="s">
        <v>326</v>
      </c>
      <c r="E1250" s="147"/>
      <c r="F1250" s="155">
        <f>F1251</f>
        <v>35247</v>
      </c>
      <c r="G1250" s="155"/>
      <c r="H1250" s="155">
        <f>H1251</f>
        <v>35247</v>
      </c>
    </row>
    <row r="1251" spans="1:8" ht="36">
      <c r="A1251" s="152" t="s">
        <v>498</v>
      </c>
      <c r="B1251" s="147" t="s">
        <v>433</v>
      </c>
      <c r="C1251" s="147" t="s">
        <v>436</v>
      </c>
      <c r="D1251" s="147" t="s">
        <v>327</v>
      </c>
      <c r="E1251" s="147"/>
      <c r="F1251" s="155">
        <f>F1252</f>
        <v>35247</v>
      </c>
      <c r="G1251" s="155">
        <f>F1251-H1251</f>
        <v>0</v>
      </c>
      <c r="H1251" s="155">
        <f>H1252</f>
        <v>35247</v>
      </c>
    </row>
    <row r="1252" spans="1:8" ht="24">
      <c r="A1252" s="195" t="s">
        <v>530</v>
      </c>
      <c r="B1252" s="147" t="s">
        <v>433</v>
      </c>
      <c r="C1252" s="147" t="s">
        <v>436</v>
      </c>
      <c r="D1252" s="147" t="s">
        <v>327</v>
      </c>
      <c r="E1252" s="147" t="s">
        <v>531</v>
      </c>
      <c r="F1252" s="155">
        <f>F1253</f>
        <v>35247</v>
      </c>
      <c r="G1252" s="155">
        <f>F1252-H1252</f>
        <v>0</v>
      </c>
      <c r="H1252" s="155">
        <f>H1253</f>
        <v>35247</v>
      </c>
    </row>
    <row r="1253" spans="1:8" ht="24">
      <c r="A1253" s="152" t="s">
        <v>171</v>
      </c>
      <c r="B1253" s="147" t="s">
        <v>433</v>
      </c>
      <c r="C1253" s="147" t="s">
        <v>436</v>
      </c>
      <c r="D1253" s="147" t="s">
        <v>327</v>
      </c>
      <c r="E1253" s="147" t="s">
        <v>399</v>
      </c>
      <c r="F1253" s="158">
        <v>35247</v>
      </c>
      <c r="G1253" s="155">
        <f>F1253-H1253</f>
        <v>0</v>
      </c>
      <c r="H1253" s="155">
        <f>F1253</f>
        <v>35247</v>
      </c>
    </row>
    <row r="1254" spans="1:8" ht="48">
      <c r="A1254" s="164" t="s">
        <v>1328</v>
      </c>
      <c r="B1254" s="147" t="s">
        <v>433</v>
      </c>
      <c r="C1254" s="147" t="s">
        <v>436</v>
      </c>
      <c r="D1254" s="147" t="s">
        <v>41</v>
      </c>
      <c r="E1254" s="147"/>
      <c r="F1254" s="279">
        <f aca="true" t="shared" si="74" ref="F1254:G1261">F1255</f>
        <v>2517</v>
      </c>
      <c r="G1254" s="155">
        <f t="shared" si="74"/>
        <v>2517</v>
      </c>
      <c r="H1254" s="155"/>
    </row>
    <row r="1255" spans="1:8" ht="24">
      <c r="A1255" s="152" t="s">
        <v>126</v>
      </c>
      <c r="B1255" s="147" t="s">
        <v>433</v>
      </c>
      <c r="C1255" s="147" t="s">
        <v>436</v>
      </c>
      <c r="D1255" s="147" t="s">
        <v>42</v>
      </c>
      <c r="E1255" s="147"/>
      <c r="F1255" s="279">
        <f t="shared" si="74"/>
        <v>2517</v>
      </c>
      <c r="G1255" s="155">
        <f t="shared" si="74"/>
        <v>2517</v>
      </c>
      <c r="H1255" s="155"/>
    </row>
    <row r="1256" spans="1:8" ht="48">
      <c r="A1256" s="152" t="s">
        <v>322</v>
      </c>
      <c r="B1256" s="147" t="s">
        <v>433</v>
      </c>
      <c r="C1256" s="147" t="s">
        <v>436</v>
      </c>
      <c r="D1256" s="147" t="s">
        <v>43</v>
      </c>
      <c r="E1256" s="147"/>
      <c r="F1256" s="279">
        <f>F1257+F1260</f>
        <v>2517</v>
      </c>
      <c r="G1256" s="279">
        <f>G1257+G1260</f>
        <v>2517</v>
      </c>
      <c r="H1256" s="279">
        <f>H1257+H1260</f>
        <v>0</v>
      </c>
    </row>
    <row r="1257" spans="1:8" ht="48">
      <c r="A1257" s="152" t="s">
        <v>1702</v>
      </c>
      <c r="B1257" s="147" t="s">
        <v>433</v>
      </c>
      <c r="C1257" s="147" t="s">
        <v>436</v>
      </c>
      <c r="D1257" s="147" t="s">
        <v>1703</v>
      </c>
      <c r="E1257" s="147"/>
      <c r="F1257" s="279">
        <f>F1258</f>
        <v>1480.5</v>
      </c>
      <c r="G1257" s="155">
        <f>F1257</f>
        <v>1480.5</v>
      </c>
      <c r="H1257" s="155"/>
    </row>
    <row r="1258" spans="1:8" ht="24">
      <c r="A1258" s="153" t="s">
        <v>530</v>
      </c>
      <c r="B1258" s="147" t="s">
        <v>433</v>
      </c>
      <c r="C1258" s="147" t="s">
        <v>436</v>
      </c>
      <c r="D1258" s="147" t="s">
        <v>1703</v>
      </c>
      <c r="E1258" s="147" t="s">
        <v>531</v>
      </c>
      <c r="F1258" s="279">
        <f>F1259</f>
        <v>1480.5</v>
      </c>
      <c r="G1258" s="155">
        <f>F1258</f>
        <v>1480.5</v>
      </c>
      <c r="H1258" s="155"/>
    </row>
    <row r="1259" spans="1:8" ht="24">
      <c r="A1259" s="157" t="s">
        <v>171</v>
      </c>
      <c r="B1259" s="147" t="s">
        <v>433</v>
      </c>
      <c r="C1259" s="147" t="s">
        <v>436</v>
      </c>
      <c r="D1259" s="147" t="s">
        <v>1703</v>
      </c>
      <c r="E1259" s="147" t="s">
        <v>399</v>
      </c>
      <c r="F1259" s="158">
        <f>1036.4+444.1</f>
        <v>1480.5</v>
      </c>
      <c r="G1259" s="155">
        <f>F1259</f>
        <v>1480.5</v>
      </c>
      <c r="H1259" s="155"/>
    </row>
    <row r="1260" spans="1:8" ht="48">
      <c r="A1260" s="182" t="s">
        <v>177</v>
      </c>
      <c r="B1260" s="147" t="s">
        <v>433</v>
      </c>
      <c r="C1260" s="147" t="s">
        <v>436</v>
      </c>
      <c r="D1260" s="147" t="s">
        <v>44</v>
      </c>
      <c r="E1260" s="147"/>
      <c r="F1260" s="279">
        <f t="shared" si="74"/>
        <v>1036.5</v>
      </c>
      <c r="G1260" s="155">
        <f t="shared" si="74"/>
        <v>1036.5</v>
      </c>
      <c r="H1260" s="155"/>
    </row>
    <row r="1261" spans="1:8" ht="24">
      <c r="A1261" s="153" t="s">
        <v>530</v>
      </c>
      <c r="B1261" s="147" t="s">
        <v>433</v>
      </c>
      <c r="C1261" s="147" t="s">
        <v>436</v>
      </c>
      <c r="D1261" s="147" t="s">
        <v>44</v>
      </c>
      <c r="E1261" s="147" t="s">
        <v>531</v>
      </c>
      <c r="F1261" s="279">
        <f t="shared" si="74"/>
        <v>1036.5</v>
      </c>
      <c r="G1261" s="155">
        <f t="shared" si="74"/>
        <v>1036.5</v>
      </c>
      <c r="H1261" s="155"/>
    </row>
    <row r="1262" spans="1:8" ht="24">
      <c r="A1262" s="157" t="s">
        <v>171</v>
      </c>
      <c r="B1262" s="147" t="s">
        <v>433</v>
      </c>
      <c r="C1262" s="147" t="s">
        <v>436</v>
      </c>
      <c r="D1262" s="147" t="s">
        <v>44</v>
      </c>
      <c r="E1262" s="147" t="s">
        <v>399</v>
      </c>
      <c r="F1262" s="158">
        <f>998.6+37.9</f>
        <v>1036.5</v>
      </c>
      <c r="G1262" s="155">
        <f>F1262</f>
        <v>1036.5</v>
      </c>
      <c r="H1262" s="155"/>
    </row>
    <row r="1263" spans="1:8" ht="36">
      <c r="A1263" s="164" t="s">
        <v>1329</v>
      </c>
      <c r="B1263" s="147" t="s">
        <v>433</v>
      </c>
      <c r="C1263" s="147" t="s">
        <v>436</v>
      </c>
      <c r="D1263" s="147" t="s">
        <v>737</v>
      </c>
      <c r="E1263" s="147"/>
      <c r="F1263" s="151">
        <f>F1264+F1278+F1287+F1295</f>
        <v>65887</v>
      </c>
      <c r="G1263" s="151">
        <f>G1264+G1278+G1287+G1295</f>
        <v>64906.3</v>
      </c>
      <c r="H1263" s="151">
        <f>H1264+H1278+H1287</f>
        <v>980.7</v>
      </c>
    </row>
    <row r="1264" spans="1:8" ht="36">
      <c r="A1264" s="152" t="s">
        <v>1330</v>
      </c>
      <c r="B1264" s="147" t="s">
        <v>433</v>
      </c>
      <c r="C1264" s="147" t="s">
        <v>436</v>
      </c>
      <c r="D1264" s="147" t="s">
        <v>328</v>
      </c>
      <c r="E1264" s="147"/>
      <c r="F1264" s="151">
        <f>F1265</f>
        <v>2746.2</v>
      </c>
      <c r="G1264" s="151">
        <f>G1265</f>
        <v>2746.2</v>
      </c>
      <c r="H1264" s="151">
        <f>H1266</f>
        <v>0</v>
      </c>
    </row>
    <row r="1265" spans="1:8" ht="60">
      <c r="A1265" s="152" t="s">
        <v>1505</v>
      </c>
      <c r="B1265" s="147" t="s">
        <v>433</v>
      </c>
      <c r="C1265" s="147" t="s">
        <v>436</v>
      </c>
      <c r="D1265" s="147" t="s">
        <v>329</v>
      </c>
      <c r="E1265" s="147"/>
      <c r="F1265" s="151">
        <f>F1266+F1272+F1269+F1275</f>
        <v>2746.2</v>
      </c>
      <c r="G1265" s="151">
        <f>G1266+G1272+G1269+G1275</f>
        <v>2746.2</v>
      </c>
      <c r="H1265" s="151"/>
    </row>
    <row r="1266" spans="1:8" ht="24">
      <c r="A1266" s="152" t="s">
        <v>505</v>
      </c>
      <c r="B1266" s="147" t="s">
        <v>433</v>
      </c>
      <c r="C1266" s="147" t="s">
        <v>436</v>
      </c>
      <c r="D1266" s="147" t="s">
        <v>1105</v>
      </c>
      <c r="E1266" s="147"/>
      <c r="F1266" s="151">
        <f>F1267</f>
        <v>1159</v>
      </c>
      <c r="G1266" s="151">
        <f>G1267</f>
        <v>1159</v>
      </c>
      <c r="H1266" s="151">
        <f>H1267</f>
        <v>0</v>
      </c>
    </row>
    <row r="1267" spans="1:8" ht="24">
      <c r="A1267" s="153" t="s">
        <v>530</v>
      </c>
      <c r="B1267" s="147" t="s">
        <v>433</v>
      </c>
      <c r="C1267" s="147" t="s">
        <v>436</v>
      </c>
      <c r="D1267" s="147" t="s">
        <v>1105</v>
      </c>
      <c r="E1267" s="147" t="s">
        <v>531</v>
      </c>
      <c r="F1267" s="151">
        <f>F1268</f>
        <v>1159</v>
      </c>
      <c r="G1267" s="155">
        <f>F1267-H1267</f>
        <v>1159</v>
      </c>
      <c r="H1267" s="196"/>
    </row>
    <row r="1268" spans="1:8" ht="24">
      <c r="A1268" s="157" t="s">
        <v>171</v>
      </c>
      <c r="B1268" s="147" t="s">
        <v>433</v>
      </c>
      <c r="C1268" s="147" t="s">
        <v>436</v>
      </c>
      <c r="D1268" s="147" t="s">
        <v>1105</v>
      </c>
      <c r="E1268" s="147" t="s">
        <v>399</v>
      </c>
      <c r="F1268" s="154">
        <f>3911-2752</f>
        <v>1159</v>
      </c>
      <c r="G1268" s="155">
        <f>F1268-H1268</f>
        <v>1159</v>
      </c>
      <c r="H1268" s="196"/>
    </row>
    <row r="1269" spans="1:8" ht="72">
      <c r="A1269" s="157" t="s">
        <v>1238</v>
      </c>
      <c r="B1269" s="147" t="s">
        <v>433</v>
      </c>
      <c r="C1269" s="147" t="s">
        <v>436</v>
      </c>
      <c r="D1269" s="147" t="s">
        <v>1239</v>
      </c>
      <c r="E1269" s="10"/>
      <c r="F1269" s="151">
        <f>F1270</f>
        <v>0</v>
      </c>
      <c r="G1269" s="155">
        <f>G1270</f>
        <v>0</v>
      </c>
      <c r="H1269" s="196"/>
    </row>
    <row r="1270" spans="1:8" ht="24">
      <c r="A1270" s="153" t="s">
        <v>530</v>
      </c>
      <c r="B1270" s="147" t="s">
        <v>433</v>
      </c>
      <c r="C1270" s="147" t="s">
        <v>436</v>
      </c>
      <c r="D1270" s="147" t="s">
        <v>1239</v>
      </c>
      <c r="E1270" s="147" t="s">
        <v>531</v>
      </c>
      <c r="F1270" s="151">
        <f>F1271</f>
        <v>0</v>
      </c>
      <c r="G1270" s="155">
        <f>G1271</f>
        <v>0</v>
      </c>
      <c r="H1270" s="196"/>
    </row>
    <row r="1271" spans="1:8" ht="24">
      <c r="A1271" s="157" t="s">
        <v>171</v>
      </c>
      <c r="B1271" s="147" t="s">
        <v>433</v>
      </c>
      <c r="C1271" s="147" t="s">
        <v>436</v>
      </c>
      <c r="D1271" s="147" t="s">
        <v>1239</v>
      </c>
      <c r="E1271" s="147" t="s">
        <v>399</v>
      </c>
      <c r="F1271" s="154">
        <v>0</v>
      </c>
      <c r="G1271" s="155">
        <f>F1271</f>
        <v>0</v>
      </c>
      <c r="H1271" s="196"/>
    </row>
    <row r="1272" spans="1:8" ht="15">
      <c r="A1272" s="323" t="s">
        <v>1754</v>
      </c>
      <c r="B1272" s="147" t="s">
        <v>433</v>
      </c>
      <c r="C1272" s="147" t="s">
        <v>436</v>
      </c>
      <c r="D1272" s="147" t="s">
        <v>1755</v>
      </c>
      <c r="E1272" s="147"/>
      <c r="F1272" s="311">
        <f>F1273</f>
        <v>0.09</v>
      </c>
      <c r="G1272" s="155">
        <f>G1273</f>
        <v>0.09</v>
      </c>
      <c r="H1272" s="196"/>
    </row>
    <row r="1273" spans="1:8" ht="24">
      <c r="A1273" s="153" t="s">
        <v>530</v>
      </c>
      <c r="B1273" s="147" t="s">
        <v>433</v>
      </c>
      <c r="C1273" s="147" t="s">
        <v>436</v>
      </c>
      <c r="D1273" s="147" t="s">
        <v>1755</v>
      </c>
      <c r="E1273" s="147" t="s">
        <v>531</v>
      </c>
      <c r="F1273" s="311">
        <f>F1274</f>
        <v>0.09</v>
      </c>
      <c r="G1273" s="155">
        <f>G1274</f>
        <v>0.09</v>
      </c>
      <c r="H1273" s="196"/>
    </row>
    <row r="1274" spans="1:8" ht="24">
      <c r="A1274" s="157" t="s">
        <v>171</v>
      </c>
      <c r="B1274" s="147" t="s">
        <v>433</v>
      </c>
      <c r="C1274" s="147" t="s">
        <v>436</v>
      </c>
      <c r="D1274" s="147" t="s">
        <v>1755</v>
      </c>
      <c r="E1274" s="147" t="s">
        <v>399</v>
      </c>
      <c r="F1274" s="154">
        <f>0.09</f>
        <v>0.09</v>
      </c>
      <c r="G1274" s="155">
        <f>F1274</f>
        <v>0.09</v>
      </c>
      <c r="H1274" s="196"/>
    </row>
    <row r="1275" spans="1:8" ht="36">
      <c r="A1275" s="157" t="s">
        <v>1621</v>
      </c>
      <c r="B1275" s="147" t="s">
        <v>433</v>
      </c>
      <c r="C1275" s="147" t="s">
        <v>436</v>
      </c>
      <c r="D1275" s="147" t="s">
        <v>1240</v>
      </c>
      <c r="E1275" s="147"/>
      <c r="F1275" s="151">
        <f>F1276</f>
        <v>1587.11</v>
      </c>
      <c r="G1275" s="155">
        <f>F1275</f>
        <v>1587.11</v>
      </c>
      <c r="H1275" s="196"/>
    </row>
    <row r="1276" spans="1:8" ht="24">
      <c r="A1276" s="153" t="s">
        <v>530</v>
      </c>
      <c r="B1276" s="147" t="s">
        <v>433</v>
      </c>
      <c r="C1276" s="147" t="s">
        <v>436</v>
      </c>
      <c r="D1276" s="147" t="s">
        <v>1240</v>
      </c>
      <c r="E1276" s="147" t="s">
        <v>531</v>
      </c>
      <c r="F1276" s="151">
        <f>F1277</f>
        <v>1587.11</v>
      </c>
      <c r="G1276" s="155">
        <f>F1276</f>
        <v>1587.11</v>
      </c>
      <c r="H1276" s="196"/>
    </row>
    <row r="1277" spans="1:8" ht="24">
      <c r="A1277" s="157" t="s">
        <v>171</v>
      </c>
      <c r="B1277" s="147" t="s">
        <v>433</v>
      </c>
      <c r="C1277" s="147" t="s">
        <v>436</v>
      </c>
      <c r="D1277" s="147" t="s">
        <v>1240</v>
      </c>
      <c r="E1277" s="147" t="s">
        <v>399</v>
      </c>
      <c r="F1277" s="154">
        <f>428.4+1158.8-0.09</f>
        <v>1587.11</v>
      </c>
      <c r="G1277" s="155">
        <f>F1277</f>
        <v>1587.11</v>
      </c>
      <c r="H1277" s="196"/>
    </row>
    <row r="1278" spans="1:8" ht="48">
      <c r="A1278" s="157" t="s">
        <v>1497</v>
      </c>
      <c r="B1278" s="147" t="s">
        <v>433</v>
      </c>
      <c r="C1278" s="147" t="s">
        <v>436</v>
      </c>
      <c r="D1278" s="147" t="s">
        <v>330</v>
      </c>
      <c r="E1278" s="147"/>
      <c r="F1278" s="155">
        <f>F1280+F1283</f>
        <v>980.7</v>
      </c>
      <c r="G1278" s="155">
        <f>G1280+G1283</f>
        <v>0</v>
      </c>
      <c r="H1278" s="155">
        <f>H1280+H1283</f>
        <v>980.7</v>
      </c>
    </row>
    <row r="1279" spans="1:8" ht="96">
      <c r="A1279" s="157" t="s">
        <v>1498</v>
      </c>
      <c r="B1279" s="147" t="s">
        <v>433</v>
      </c>
      <c r="C1279" s="147" t="s">
        <v>436</v>
      </c>
      <c r="D1279" s="147" t="s">
        <v>331</v>
      </c>
      <c r="E1279" s="147"/>
      <c r="F1279" s="155">
        <f>F1280</f>
        <v>0</v>
      </c>
      <c r="G1279" s="155"/>
      <c r="H1279" s="155"/>
    </row>
    <row r="1280" spans="1:8" ht="84">
      <c r="A1280" s="152" t="s">
        <v>836</v>
      </c>
      <c r="B1280" s="147" t="s">
        <v>433</v>
      </c>
      <c r="C1280" s="147" t="s">
        <v>436</v>
      </c>
      <c r="D1280" s="147" t="s">
        <v>1499</v>
      </c>
      <c r="E1280" s="147"/>
      <c r="F1280" s="155">
        <f>F1281</f>
        <v>0</v>
      </c>
      <c r="G1280" s="155">
        <f>G1281</f>
        <v>0</v>
      </c>
      <c r="H1280" s="155">
        <f>H1281</f>
        <v>0</v>
      </c>
    </row>
    <row r="1281" spans="1:8" ht="24">
      <c r="A1281" s="284" t="s">
        <v>530</v>
      </c>
      <c r="B1281" s="147" t="s">
        <v>433</v>
      </c>
      <c r="C1281" s="147" t="s">
        <v>436</v>
      </c>
      <c r="D1281" s="147" t="s">
        <v>1499</v>
      </c>
      <c r="E1281" s="147" t="s">
        <v>531</v>
      </c>
      <c r="F1281" s="155">
        <f>F1282</f>
        <v>0</v>
      </c>
      <c r="G1281" s="155">
        <f>F1281</f>
        <v>0</v>
      </c>
      <c r="H1281" s="176"/>
    </row>
    <row r="1282" spans="1:8" ht="24">
      <c r="A1282" s="152" t="s">
        <v>171</v>
      </c>
      <c r="B1282" s="147" t="s">
        <v>433</v>
      </c>
      <c r="C1282" s="147" t="s">
        <v>436</v>
      </c>
      <c r="D1282" s="147" t="s">
        <v>1499</v>
      </c>
      <c r="E1282" s="147" t="s">
        <v>399</v>
      </c>
      <c r="F1282" s="158">
        <f>2250.5-2250.5</f>
        <v>0</v>
      </c>
      <c r="G1282" s="155">
        <f>F1282</f>
        <v>0</v>
      </c>
      <c r="H1282" s="176"/>
    </row>
    <row r="1283" spans="1:8" ht="84">
      <c r="A1283" s="152" t="s">
        <v>1756</v>
      </c>
      <c r="B1283" s="147" t="s">
        <v>433</v>
      </c>
      <c r="C1283" s="147" t="s">
        <v>436</v>
      </c>
      <c r="D1283" s="147" t="s">
        <v>1757</v>
      </c>
      <c r="E1283" s="147"/>
      <c r="F1283" s="279">
        <f>F1284</f>
        <v>980.7</v>
      </c>
      <c r="G1283" s="279"/>
      <c r="H1283" s="279">
        <f>H1284</f>
        <v>980.7</v>
      </c>
    </row>
    <row r="1284" spans="1:8" ht="72">
      <c r="A1284" s="152" t="s">
        <v>1758</v>
      </c>
      <c r="B1284" s="147" t="s">
        <v>433</v>
      </c>
      <c r="C1284" s="147" t="s">
        <v>436</v>
      </c>
      <c r="D1284" s="147" t="s">
        <v>1759</v>
      </c>
      <c r="E1284" s="147"/>
      <c r="F1284" s="279">
        <f>F1285</f>
        <v>980.7</v>
      </c>
      <c r="G1284" s="279"/>
      <c r="H1284" s="324">
        <f>H1285</f>
        <v>980.7</v>
      </c>
    </row>
    <row r="1285" spans="1:8" ht="24">
      <c r="A1285" s="284" t="s">
        <v>530</v>
      </c>
      <c r="B1285" s="147" t="s">
        <v>433</v>
      </c>
      <c r="C1285" s="147" t="s">
        <v>436</v>
      </c>
      <c r="D1285" s="147" t="s">
        <v>1759</v>
      </c>
      <c r="E1285" s="147" t="s">
        <v>531</v>
      </c>
      <c r="F1285" s="279">
        <f>F1286</f>
        <v>980.7</v>
      </c>
      <c r="G1285" s="279"/>
      <c r="H1285" s="324">
        <f>H1286</f>
        <v>980.7</v>
      </c>
    </row>
    <row r="1286" spans="1:8" ht="24">
      <c r="A1286" s="152" t="s">
        <v>171</v>
      </c>
      <c r="B1286" s="147" t="s">
        <v>433</v>
      </c>
      <c r="C1286" s="147" t="s">
        <v>436</v>
      </c>
      <c r="D1286" s="147" t="s">
        <v>1759</v>
      </c>
      <c r="E1286" s="147" t="s">
        <v>399</v>
      </c>
      <c r="F1286" s="158">
        <v>980.7</v>
      </c>
      <c r="G1286" s="155"/>
      <c r="H1286" s="176">
        <f>F1286</f>
        <v>980.7</v>
      </c>
    </row>
    <row r="1287" spans="1:8" ht="36">
      <c r="A1287" s="115" t="s">
        <v>1331</v>
      </c>
      <c r="B1287" s="147" t="s">
        <v>433</v>
      </c>
      <c r="C1287" s="147" t="s">
        <v>436</v>
      </c>
      <c r="D1287" s="147" t="s">
        <v>1197</v>
      </c>
      <c r="E1287" s="147"/>
      <c r="F1287" s="279">
        <f aca="true" t="shared" si="75" ref="F1287:G1290">F1288</f>
        <v>12160.1</v>
      </c>
      <c r="G1287" s="155">
        <f t="shared" si="75"/>
        <v>12160.1</v>
      </c>
      <c r="H1287" s="176"/>
    </row>
    <row r="1288" spans="1:8" ht="60">
      <c r="A1288" s="152" t="s">
        <v>1506</v>
      </c>
      <c r="B1288" s="147" t="s">
        <v>433</v>
      </c>
      <c r="C1288" s="147" t="s">
        <v>436</v>
      </c>
      <c r="D1288" s="147" t="s">
        <v>1503</v>
      </c>
      <c r="E1288" s="147"/>
      <c r="F1288" s="279">
        <f>F1289+F1292</f>
        <v>12160.1</v>
      </c>
      <c r="G1288" s="325">
        <f>G1289+G1292</f>
        <v>12160.1</v>
      </c>
      <c r="H1288" s="176"/>
    </row>
    <row r="1289" spans="1:8" ht="36">
      <c r="A1289" s="152" t="s">
        <v>1772</v>
      </c>
      <c r="B1289" s="147" t="s">
        <v>433</v>
      </c>
      <c r="C1289" s="147" t="s">
        <v>436</v>
      </c>
      <c r="D1289" s="147" t="s">
        <v>1504</v>
      </c>
      <c r="E1289" s="147"/>
      <c r="F1289" s="279">
        <f>F1290</f>
        <v>158.1</v>
      </c>
      <c r="G1289" s="155">
        <f>G1291</f>
        <v>158.1</v>
      </c>
      <c r="H1289" s="176"/>
    </row>
    <row r="1290" spans="1:8" ht="24">
      <c r="A1290" s="284" t="s">
        <v>530</v>
      </c>
      <c r="B1290" s="147" t="s">
        <v>433</v>
      </c>
      <c r="C1290" s="147" t="s">
        <v>436</v>
      </c>
      <c r="D1290" s="147" t="s">
        <v>1504</v>
      </c>
      <c r="E1290" s="147" t="s">
        <v>531</v>
      </c>
      <c r="F1290" s="279">
        <f t="shared" si="75"/>
        <v>158.1</v>
      </c>
      <c r="G1290" s="155">
        <f t="shared" si="75"/>
        <v>158.1</v>
      </c>
      <c r="H1290" s="176"/>
    </row>
    <row r="1291" spans="1:8" ht="24">
      <c r="A1291" s="152" t="s">
        <v>171</v>
      </c>
      <c r="B1291" s="147" t="s">
        <v>433</v>
      </c>
      <c r="C1291" s="147" t="s">
        <v>436</v>
      </c>
      <c r="D1291" s="147" t="s">
        <v>1504</v>
      </c>
      <c r="E1291" s="147" t="s">
        <v>399</v>
      </c>
      <c r="F1291" s="158">
        <v>158.1</v>
      </c>
      <c r="G1291" s="155">
        <f>F1291</f>
        <v>158.1</v>
      </c>
      <c r="H1291" s="176"/>
    </row>
    <row r="1292" spans="1:8" ht="24">
      <c r="A1292" s="326" t="s">
        <v>506</v>
      </c>
      <c r="B1292" s="147" t="s">
        <v>433</v>
      </c>
      <c r="C1292" s="147" t="s">
        <v>436</v>
      </c>
      <c r="D1292" s="147" t="s">
        <v>1771</v>
      </c>
      <c r="E1292" s="147"/>
      <c r="F1292" s="325">
        <f>F1293</f>
        <v>12002</v>
      </c>
      <c r="G1292" s="155">
        <f>G1293</f>
        <v>12002</v>
      </c>
      <c r="H1292" s="176"/>
    </row>
    <row r="1293" spans="1:8" ht="24">
      <c r="A1293" s="284" t="s">
        <v>530</v>
      </c>
      <c r="B1293" s="147" t="s">
        <v>433</v>
      </c>
      <c r="C1293" s="147" t="s">
        <v>436</v>
      </c>
      <c r="D1293" s="147" t="s">
        <v>1771</v>
      </c>
      <c r="E1293" s="147" t="s">
        <v>531</v>
      </c>
      <c r="F1293" s="325">
        <f>F1294</f>
        <v>12002</v>
      </c>
      <c r="G1293" s="155">
        <f>G1294</f>
        <v>12002</v>
      </c>
      <c r="H1293" s="176"/>
    </row>
    <row r="1294" spans="1:8" ht="24">
      <c r="A1294" s="152" t="s">
        <v>171</v>
      </c>
      <c r="B1294" s="147" t="s">
        <v>433</v>
      </c>
      <c r="C1294" s="147" t="s">
        <v>436</v>
      </c>
      <c r="D1294" s="147" t="s">
        <v>1771</v>
      </c>
      <c r="E1294" s="147" t="s">
        <v>399</v>
      </c>
      <c r="F1294" s="158">
        <v>12002</v>
      </c>
      <c r="G1294" s="155">
        <f>F1294</f>
        <v>12002</v>
      </c>
      <c r="H1294" s="176"/>
    </row>
    <row r="1295" spans="1:8" ht="60">
      <c r="A1295" s="152" t="s">
        <v>1574</v>
      </c>
      <c r="B1295" s="147" t="s">
        <v>433</v>
      </c>
      <c r="C1295" s="147" t="s">
        <v>436</v>
      </c>
      <c r="D1295" s="147" t="s">
        <v>1199</v>
      </c>
      <c r="E1295" s="147"/>
      <c r="F1295" s="279">
        <f aca="true" t="shared" si="76" ref="F1295:G1298">F1296</f>
        <v>50000</v>
      </c>
      <c r="G1295" s="155">
        <f t="shared" si="76"/>
        <v>50000</v>
      </c>
      <c r="H1295" s="176"/>
    </row>
    <row r="1296" spans="1:8" ht="48">
      <c r="A1296" s="152" t="s">
        <v>1575</v>
      </c>
      <c r="B1296" s="147" t="s">
        <v>433</v>
      </c>
      <c r="C1296" s="147" t="s">
        <v>436</v>
      </c>
      <c r="D1296" s="147" t="s">
        <v>1576</v>
      </c>
      <c r="E1296" s="147"/>
      <c r="F1296" s="279">
        <f t="shared" si="76"/>
        <v>50000</v>
      </c>
      <c r="G1296" s="155">
        <f t="shared" si="76"/>
        <v>50000</v>
      </c>
      <c r="H1296" s="176"/>
    </row>
    <row r="1297" spans="1:8" ht="24">
      <c r="A1297" s="152" t="s">
        <v>1577</v>
      </c>
      <c r="B1297" s="147" t="s">
        <v>433</v>
      </c>
      <c r="C1297" s="147" t="s">
        <v>436</v>
      </c>
      <c r="D1297" s="147" t="s">
        <v>1578</v>
      </c>
      <c r="E1297" s="147"/>
      <c r="F1297" s="279">
        <f t="shared" si="76"/>
        <v>50000</v>
      </c>
      <c r="G1297" s="155">
        <f t="shared" si="76"/>
        <v>50000</v>
      </c>
      <c r="H1297" s="176"/>
    </row>
    <row r="1298" spans="1:8" ht="24">
      <c r="A1298" s="284" t="s">
        <v>530</v>
      </c>
      <c r="B1298" s="147" t="s">
        <v>433</v>
      </c>
      <c r="C1298" s="147" t="s">
        <v>436</v>
      </c>
      <c r="D1298" s="147" t="s">
        <v>1578</v>
      </c>
      <c r="E1298" s="147" t="s">
        <v>531</v>
      </c>
      <c r="F1298" s="279">
        <f t="shared" si="76"/>
        <v>50000</v>
      </c>
      <c r="G1298" s="155">
        <f t="shared" si="76"/>
        <v>50000</v>
      </c>
      <c r="H1298" s="176"/>
    </row>
    <row r="1299" spans="1:8" ht="24">
      <c r="A1299" s="152" t="s">
        <v>171</v>
      </c>
      <c r="B1299" s="147" t="s">
        <v>433</v>
      </c>
      <c r="C1299" s="147" t="s">
        <v>436</v>
      </c>
      <c r="D1299" s="147" t="s">
        <v>1578</v>
      </c>
      <c r="E1299" s="147" t="s">
        <v>399</v>
      </c>
      <c r="F1299" s="158">
        <v>50000</v>
      </c>
      <c r="G1299" s="155">
        <f>F1299</f>
        <v>50000</v>
      </c>
      <c r="H1299" s="176"/>
    </row>
    <row r="1300" spans="1:8" ht="48">
      <c r="A1300" s="164" t="s">
        <v>1299</v>
      </c>
      <c r="B1300" s="147" t="s">
        <v>433</v>
      </c>
      <c r="C1300" s="147" t="s">
        <v>436</v>
      </c>
      <c r="D1300" s="147" t="s">
        <v>212</v>
      </c>
      <c r="E1300" s="147"/>
      <c r="F1300" s="279">
        <f aca="true" t="shared" si="77" ref="F1300:G1303">F1301</f>
        <v>4268.4</v>
      </c>
      <c r="G1300" s="155">
        <f t="shared" si="77"/>
        <v>4268.4</v>
      </c>
      <c r="H1300" s="176"/>
    </row>
    <row r="1301" spans="1:8" ht="48">
      <c r="A1301" s="152" t="s">
        <v>1300</v>
      </c>
      <c r="B1301" s="147" t="s">
        <v>433</v>
      </c>
      <c r="C1301" s="147" t="s">
        <v>436</v>
      </c>
      <c r="D1301" s="147" t="s">
        <v>213</v>
      </c>
      <c r="E1301" s="147"/>
      <c r="F1301" s="279">
        <f t="shared" si="77"/>
        <v>4268.4</v>
      </c>
      <c r="G1301" s="155">
        <f t="shared" si="77"/>
        <v>4268.4</v>
      </c>
      <c r="H1301" s="176"/>
    </row>
    <row r="1302" spans="1:8" ht="60">
      <c r="A1302" s="152" t="s">
        <v>211</v>
      </c>
      <c r="B1302" s="147" t="s">
        <v>433</v>
      </c>
      <c r="C1302" s="147" t="s">
        <v>436</v>
      </c>
      <c r="D1302" s="147" t="s">
        <v>214</v>
      </c>
      <c r="E1302" s="147"/>
      <c r="F1302" s="279">
        <f t="shared" si="77"/>
        <v>4268.4</v>
      </c>
      <c r="G1302" s="155">
        <f t="shared" si="77"/>
        <v>4268.4</v>
      </c>
      <c r="H1302" s="176"/>
    </row>
    <row r="1303" spans="1:8" ht="60">
      <c r="A1303" s="152" t="s">
        <v>215</v>
      </c>
      <c r="B1303" s="147" t="s">
        <v>433</v>
      </c>
      <c r="C1303" s="147" t="s">
        <v>436</v>
      </c>
      <c r="D1303" s="147" t="s">
        <v>216</v>
      </c>
      <c r="E1303" s="147"/>
      <c r="F1303" s="279">
        <f t="shared" si="77"/>
        <v>4268.4</v>
      </c>
      <c r="G1303" s="155">
        <f t="shared" si="77"/>
        <v>4268.4</v>
      </c>
      <c r="H1303" s="176"/>
    </row>
    <row r="1304" spans="1:8" ht="15">
      <c r="A1304" s="153" t="s">
        <v>985</v>
      </c>
      <c r="B1304" s="147" t="s">
        <v>433</v>
      </c>
      <c r="C1304" s="147" t="s">
        <v>436</v>
      </c>
      <c r="D1304" s="147" t="s">
        <v>216</v>
      </c>
      <c r="E1304" s="147" t="s">
        <v>986</v>
      </c>
      <c r="F1304" s="155">
        <f>F1305</f>
        <v>4268.4</v>
      </c>
      <c r="G1304" s="155">
        <f>F1304-H1304</f>
        <v>4268.4</v>
      </c>
      <c r="H1304" s="176"/>
    </row>
    <row r="1305" spans="1:8" ht="36">
      <c r="A1305" s="152" t="s">
        <v>555</v>
      </c>
      <c r="B1305" s="147" t="s">
        <v>433</v>
      </c>
      <c r="C1305" s="147" t="s">
        <v>436</v>
      </c>
      <c r="D1305" s="147" t="s">
        <v>216</v>
      </c>
      <c r="E1305" s="147" t="s">
        <v>556</v>
      </c>
      <c r="F1305" s="158">
        <f>7482.9-3919.9+272.2+433.2</f>
        <v>4268.4</v>
      </c>
      <c r="G1305" s="155">
        <f>F1305-H1305</f>
        <v>4268.4</v>
      </c>
      <c r="H1305" s="176"/>
    </row>
    <row r="1306" spans="1:8" ht="15">
      <c r="A1306" s="156" t="s">
        <v>1085</v>
      </c>
      <c r="B1306" s="147" t="s">
        <v>433</v>
      </c>
      <c r="C1306" s="147" t="s">
        <v>936</v>
      </c>
      <c r="D1306" s="163"/>
      <c r="E1306" s="147"/>
      <c r="F1306" s="155">
        <f>F1307+F1315</f>
        <v>124348</v>
      </c>
      <c r="G1306" s="155">
        <f>G1315</f>
        <v>0</v>
      </c>
      <c r="H1306" s="155">
        <f>H1307+H1315</f>
        <v>124348</v>
      </c>
    </row>
    <row r="1307" spans="1:8" ht="36">
      <c r="A1307" s="164" t="s">
        <v>1416</v>
      </c>
      <c r="B1307" s="147" t="s">
        <v>433</v>
      </c>
      <c r="C1307" s="147" t="s">
        <v>936</v>
      </c>
      <c r="D1307" s="147" t="s">
        <v>3</v>
      </c>
      <c r="E1307" s="147"/>
      <c r="F1307" s="155">
        <f>F1308</f>
        <v>67349</v>
      </c>
      <c r="G1307" s="155"/>
      <c r="H1307" s="155">
        <f>H1308</f>
        <v>67349</v>
      </c>
    </row>
    <row r="1308" spans="1:8" ht="15">
      <c r="A1308" s="157" t="s">
        <v>1749</v>
      </c>
      <c r="B1308" s="147" t="s">
        <v>433</v>
      </c>
      <c r="C1308" s="147" t="s">
        <v>936</v>
      </c>
      <c r="D1308" s="147" t="s">
        <v>8</v>
      </c>
      <c r="E1308" s="147"/>
      <c r="F1308" s="155">
        <f>F1310</f>
        <v>67349</v>
      </c>
      <c r="G1308" s="155"/>
      <c r="H1308" s="155">
        <f>H1310</f>
        <v>67349</v>
      </c>
    </row>
    <row r="1309" spans="1:8" ht="48">
      <c r="A1309" s="157" t="s">
        <v>7</v>
      </c>
      <c r="B1309" s="147" t="s">
        <v>433</v>
      </c>
      <c r="C1309" s="147" t="s">
        <v>936</v>
      </c>
      <c r="D1309" s="147" t="s">
        <v>9</v>
      </c>
      <c r="E1309" s="147"/>
      <c r="F1309" s="155">
        <f>F1310</f>
        <v>67349</v>
      </c>
      <c r="G1309" s="155"/>
      <c r="H1309" s="155">
        <f>H1310</f>
        <v>67349</v>
      </c>
    </row>
    <row r="1310" spans="1:8" ht="27" customHeight="1">
      <c r="A1310" s="191" t="s">
        <v>681</v>
      </c>
      <c r="B1310" s="147" t="s">
        <v>433</v>
      </c>
      <c r="C1310" s="147" t="s">
        <v>936</v>
      </c>
      <c r="D1310" s="147" t="s">
        <v>10</v>
      </c>
      <c r="E1310" s="147"/>
      <c r="F1310" s="155">
        <f>F1313+F1311</f>
        <v>67349</v>
      </c>
      <c r="G1310" s="155"/>
      <c r="H1310" s="155">
        <f>H1313+H1311</f>
        <v>67349</v>
      </c>
    </row>
    <row r="1311" spans="1:8" ht="24">
      <c r="A1311" s="157" t="s">
        <v>1066</v>
      </c>
      <c r="B1311" s="147" t="s">
        <v>433</v>
      </c>
      <c r="C1311" s="147" t="s">
        <v>936</v>
      </c>
      <c r="D1311" s="147" t="s">
        <v>10</v>
      </c>
      <c r="E1311" s="147" t="s">
        <v>529</v>
      </c>
      <c r="F1311" s="155">
        <f>F1312</f>
        <v>667</v>
      </c>
      <c r="G1311" s="155"/>
      <c r="H1311" s="155">
        <f>F1311</f>
        <v>667</v>
      </c>
    </row>
    <row r="1312" spans="1:8" ht="33.75" customHeight="1">
      <c r="A1312" s="157" t="s">
        <v>920</v>
      </c>
      <c r="B1312" s="147" t="s">
        <v>433</v>
      </c>
      <c r="C1312" s="147" t="s">
        <v>936</v>
      </c>
      <c r="D1312" s="147" t="s">
        <v>10</v>
      </c>
      <c r="E1312" s="147" t="s">
        <v>429</v>
      </c>
      <c r="F1312" s="158">
        <v>667</v>
      </c>
      <c r="G1312" s="155"/>
      <c r="H1312" s="155">
        <f>F1312</f>
        <v>667</v>
      </c>
    </row>
    <row r="1313" spans="1:8" ht="24">
      <c r="A1313" s="284" t="s">
        <v>530</v>
      </c>
      <c r="B1313" s="147" t="s">
        <v>433</v>
      </c>
      <c r="C1313" s="147" t="s">
        <v>936</v>
      </c>
      <c r="D1313" s="147" t="s">
        <v>10</v>
      </c>
      <c r="E1313" s="147" t="s">
        <v>531</v>
      </c>
      <c r="F1313" s="155">
        <f>F1314</f>
        <v>66682</v>
      </c>
      <c r="G1313" s="155"/>
      <c r="H1313" s="155">
        <f>H1314</f>
        <v>66682</v>
      </c>
    </row>
    <row r="1314" spans="1:8" ht="24">
      <c r="A1314" s="152" t="s">
        <v>171</v>
      </c>
      <c r="B1314" s="147" t="s">
        <v>433</v>
      </c>
      <c r="C1314" s="147" t="s">
        <v>936</v>
      </c>
      <c r="D1314" s="147" t="s">
        <v>10</v>
      </c>
      <c r="E1314" s="147" t="s">
        <v>399</v>
      </c>
      <c r="F1314" s="158">
        <v>66682</v>
      </c>
      <c r="G1314" s="155"/>
      <c r="H1314" s="155">
        <f>F1314</f>
        <v>66682</v>
      </c>
    </row>
    <row r="1315" spans="1:8" ht="36">
      <c r="A1315" s="164" t="s">
        <v>1329</v>
      </c>
      <c r="B1315" s="147" t="s">
        <v>433</v>
      </c>
      <c r="C1315" s="147" t="s">
        <v>936</v>
      </c>
      <c r="D1315" s="147" t="s">
        <v>737</v>
      </c>
      <c r="E1315" s="147"/>
      <c r="F1315" s="155">
        <f>F1316</f>
        <v>56999</v>
      </c>
      <c r="G1315" s="155">
        <f>G1316</f>
        <v>0</v>
      </c>
      <c r="H1315" s="155">
        <f>H1316</f>
        <v>56999</v>
      </c>
    </row>
    <row r="1316" spans="1:8" ht="48">
      <c r="A1316" s="284" t="s">
        <v>1351</v>
      </c>
      <c r="B1316" s="147" t="s">
        <v>433</v>
      </c>
      <c r="C1316" s="147" t="s">
        <v>936</v>
      </c>
      <c r="D1316" s="147" t="s">
        <v>1198</v>
      </c>
      <c r="E1316" s="147"/>
      <c r="F1316" s="155">
        <f>F1317</f>
        <v>56999</v>
      </c>
      <c r="G1316" s="155">
        <f aca="true" t="shared" si="78" ref="G1316:G1327">F1316-H1316</f>
        <v>0</v>
      </c>
      <c r="H1316" s="155">
        <f>H1317</f>
        <v>56999</v>
      </c>
    </row>
    <row r="1317" spans="1:8" ht="60">
      <c r="A1317" s="152" t="s">
        <v>1500</v>
      </c>
      <c r="B1317" s="147" t="s">
        <v>433</v>
      </c>
      <c r="C1317" s="147" t="s">
        <v>936</v>
      </c>
      <c r="D1317" s="147" t="s">
        <v>1501</v>
      </c>
      <c r="E1317" s="147"/>
      <c r="F1317" s="155">
        <f>F1318+F1321</f>
        <v>56999</v>
      </c>
      <c r="G1317" s="155">
        <f>G1318+G1321</f>
        <v>0</v>
      </c>
      <c r="H1317" s="155">
        <f>H1318+H1321</f>
        <v>56999</v>
      </c>
    </row>
    <row r="1318" spans="1:8" ht="60">
      <c r="A1318" s="299" t="s">
        <v>61</v>
      </c>
      <c r="B1318" s="147" t="s">
        <v>433</v>
      </c>
      <c r="C1318" s="147" t="s">
        <v>936</v>
      </c>
      <c r="D1318" s="147" t="s">
        <v>1502</v>
      </c>
      <c r="E1318" s="147"/>
      <c r="F1318" s="155">
        <f>F1319</f>
        <v>56999</v>
      </c>
      <c r="G1318" s="155">
        <f t="shared" si="78"/>
        <v>0</v>
      </c>
      <c r="H1318" s="155">
        <f>H1319</f>
        <v>56999</v>
      </c>
    </row>
    <row r="1319" spans="1:8" ht="24">
      <c r="A1319" s="284" t="s">
        <v>530</v>
      </c>
      <c r="B1319" s="147" t="s">
        <v>433</v>
      </c>
      <c r="C1319" s="147" t="s">
        <v>936</v>
      </c>
      <c r="D1319" s="147" t="s">
        <v>1502</v>
      </c>
      <c r="E1319" s="147" t="s">
        <v>531</v>
      </c>
      <c r="F1319" s="279">
        <f>F1320</f>
        <v>56999</v>
      </c>
      <c r="G1319" s="155">
        <f t="shared" si="78"/>
        <v>0</v>
      </c>
      <c r="H1319" s="155">
        <f>H1320</f>
        <v>56999</v>
      </c>
    </row>
    <row r="1320" spans="1:8" ht="24">
      <c r="A1320" s="152" t="s">
        <v>171</v>
      </c>
      <c r="B1320" s="147" t="s">
        <v>433</v>
      </c>
      <c r="C1320" s="147" t="s">
        <v>936</v>
      </c>
      <c r="D1320" s="147" t="s">
        <v>1502</v>
      </c>
      <c r="E1320" s="147" t="s">
        <v>399</v>
      </c>
      <c r="F1320" s="158">
        <f>56999</f>
        <v>56999</v>
      </c>
      <c r="G1320" s="155">
        <f t="shared" si="78"/>
        <v>0</v>
      </c>
      <c r="H1320" s="155">
        <f>F1320</f>
        <v>56999</v>
      </c>
    </row>
    <row r="1321" spans="1:8" ht="72">
      <c r="A1321" s="299" t="s">
        <v>1719</v>
      </c>
      <c r="B1321" s="147" t="s">
        <v>433</v>
      </c>
      <c r="C1321" s="147" t="s">
        <v>936</v>
      </c>
      <c r="D1321" s="147" t="s">
        <v>1720</v>
      </c>
      <c r="E1321" s="147"/>
      <c r="F1321" s="279">
        <f>F1322</f>
        <v>0</v>
      </c>
      <c r="G1321" s="155">
        <f t="shared" si="78"/>
        <v>0</v>
      </c>
      <c r="H1321" s="155">
        <f>F1321</f>
        <v>0</v>
      </c>
    </row>
    <row r="1322" spans="1:8" ht="24">
      <c r="A1322" s="284" t="s">
        <v>530</v>
      </c>
      <c r="B1322" s="147" t="s">
        <v>433</v>
      </c>
      <c r="C1322" s="147" t="s">
        <v>936</v>
      </c>
      <c r="D1322" s="147" t="s">
        <v>1720</v>
      </c>
      <c r="E1322" s="147" t="s">
        <v>531</v>
      </c>
      <c r="F1322" s="279">
        <f>F1323</f>
        <v>0</v>
      </c>
      <c r="G1322" s="155"/>
      <c r="H1322" s="155">
        <f>F1322</f>
        <v>0</v>
      </c>
    </row>
    <row r="1323" spans="1:8" ht="24">
      <c r="A1323" s="152" t="s">
        <v>171</v>
      </c>
      <c r="B1323" s="147" t="s">
        <v>433</v>
      </c>
      <c r="C1323" s="147" t="s">
        <v>936</v>
      </c>
      <c r="D1323" s="147" t="s">
        <v>1720</v>
      </c>
      <c r="E1323" s="147" t="s">
        <v>399</v>
      </c>
      <c r="F1323" s="158">
        <f>56999-56999</f>
        <v>0</v>
      </c>
      <c r="G1323" s="155"/>
      <c r="H1323" s="155">
        <f>F1323</f>
        <v>0</v>
      </c>
    </row>
    <row r="1324" spans="1:8" ht="15">
      <c r="A1324" s="166" t="s">
        <v>279</v>
      </c>
      <c r="B1324" s="168" t="s">
        <v>567</v>
      </c>
      <c r="C1324" s="168"/>
      <c r="D1324" s="168"/>
      <c r="E1324" s="168"/>
      <c r="F1324" s="148">
        <f>F1325</f>
        <v>333648.5</v>
      </c>
      <c r="G1324" s="155">
        <f t="shared" si="78"/>
        <v>333648.5</v>
      </c>
      <c r="H1324" s="175"/>
    </row>
    <row r="1325" spans="1:8" ht="15">
      <c r="A1325" s="156" t="s">
        <v>280</v>
      </c>
      <c r="B1325" s="147" t="s">
        <v>567</v>
      </c>
      <c r="C1325" s="147" t="s">
        <v>1145</v>
      </c>
      <c r="D1325" s="169"/>
      <c r="E1325" s="169"/>
      <c r="F1325" s="175">
        <f>F1326+F1366+F1373</f>
        <v>333648.5</v>
      </c>
      <c r="G1325" s="155">
        <f t="shared" si="78"/>
        <v>333648.5</v>
      </c>
      <c r="H1325" s="175"/>
    </row>
    <row r="1326" spans="1:8" ht="36">
      <c r="A1326" s="164" t="s">
        <v>1319</v>
      </c>
      <c r="B1326" s="147" t="s">
        <v>567</v>
      </c>
      <c r="C1326" s="147" t="s">
        <v>1145</v>
      </c>
      <c r="D1326" s="147" t="s">
        <v>739</v>
      </c>
      <c r="E1326" s="147"/>
      <c r="F1326" s="155">
        <f>F1327</f>
        <v>324848.5</v>
      </c>
      <c r="G1326" s="155">
        <f t="shared" si="78"/>
        <v>324848.5</v>
      </c>
      <c r="H1326" s="155"/>
    </row>
    <row r="1327" spans="1:8" ht="36">
      <c r="A1327" s="157" t="s">
        <v>1332</v>
      </c>
      <c r="B1327" s="147" t="s">
        <v>567</v>
      </c>
      <c r="C1327" s="147" t="s">
        <v>1145</v>
      </c>
      <c r="D1327" s="147" t="s">
        <v>365</v>
      </c>
      <c r="E1327" s="147"/>
      <c r="F1327" s="155">
        <f>F1328+F1333+F1338+F1354</f>
        <v>324848.5</v>
      </c>
      <c r="G1327" s="155">
        <f t="shared" si="78"/>
        <v>324848.5</v>
      </c>
      <c r="H1327" s="158"/>
    </row>
    <row r="1328" spans="1:8" ht="36">
      <c r="A1328" s="157" t="s">
        <v>363</v>
      </c>
      <c r="B1328" s="147" t="s">
        <v>567</v>
      </c>
      <c r="C1328" s="147" t="s">
        <v>1145</v>
      </c>
      <c r="D1328" s="147" t="s">
        <v>364</v>
      </c>
      <c r="E1328" s="147"/>
      <c r="F1328" s="155">
        <f aca="true" t="shared" si="79" ref="F1328:G1331">F1329</f>
        <v>3100</v>
      </c>
      <c r="G1328" s="155">
        <f t="shared" si="79"/>
        <v>3100</v>
      </c>
      <c r="H1328" s="158"/>
    </row>
    <row r="1329" spans="1:8" ht="48">
      <c r="A1329" s="157" t="s">
        <v>366</v>
      </c>
      <c r="B1329" s="147" t="s">
        <v>567</v>
      </c>
      <c r="C1329" s="147" t="s">
        <v>1145</v>
      </c>
      <c r="D1329" s="147" t="s">
        <v>367</v>
      </c>
      <c r="E1329" s="147"/>
      <c r="F1329" s="155">
        <f t="shared" si="79"/>
        <v>3100</v>
      </c>
      <c r="G1329" s="155">
        <f t="shared" si="79"/>
        <v>3100</v>
      </c>
      <c r="H1329" s="158"/>
    </row>
    <row r="1330" spans="1:8" ht="36">
      <c r="A1330" s="152" t="s">
        <v>490</v>
      </c>
      <c r="B1330" s="147" t="s">
        <v>567</v>
      </c>
      <c r="C1330" s="147" t="s">
        <v>1145</v>
      </c>
      <c r="D1330" s="147" t="s">
        <v>367</v>
      </c>
      <c r="E1330" s="147" t="s">
        <v>489</v>
      </c>
      <c r="F1330" s="155">
        <f t="shared" si="79"/>
        <v>3100</v>
      </c>
      <c r="G1330" s="155">
        <f t="shared" si="79"/>
        <v>3100</v>
      </c>
      <c r="H1330" s="158"/>
    </row>
    <row r="1331" spans="1:8" ht="24">
      <c r="A1331" s="157" t="s">
        <v>491</v>
      </c>
      <c r="B1331" s="147" t="s">
        <v>567</v>
      </c>
      <c r="C1331" s="147" t="s">
        <v>1145</v>
      </c>
      <c r="D1331" s="147" t="s">
        <v>367</v>
      </c>
      <c r="E1331" s="147" t="s">
        <v>574</v>
      </c>
      <c r="F1331" s="155">
        <f t="shared" si="79"/>
        <v>3100</v>
      </c>
      <c r="G1331" s="155">
        <f t="shared" si="79"/>
        <v>3100</v>
      </c>
      <c r="H1331" s="158"/>
    </row>
    <row r="1332" spans="1:8" ht="24">
      <c r="A1332" s="157" t="s">
        <v>181</v>
      </c>
      <c r="B1332" s="147" t="s">
        <v>567</v>
      </c>
      <c r="C1332" s="147" t="s">
        <v>1145</v>
      </c>
      <c r="D1332" s="147" t="s">
        <v>367</v>
      </c>
      <c r="E1332" s="147" t="s">
        <v>574</v>
      </c>
      <c r="F1332" s="158">
        <v>3100</v>
      </c>
      <c r="G1332" s="155">
        <f>F1332</f>
        <v>3100</v>
      </c>
      <c r="H1332" s="158"/>
    </row>
    <row r="1333" spans="1:8" ht="48">
      <c r="A1333" s="152" t="s">
        <v>368</v>
      </c>
      <c r="B1333" s="147" t="s">
        <v>567</v>
      </c>
      <c r="C1333" s="147" t="s">
        <v>1145</v>
      </c>
      <c r="D1333" s="147" t="s">
        <v>226</v>
      </c>
      <c r="E1333" s="150"/>
      <c r="F1333" s="155">
        <f>F1334</f>
        <v>148143</v>
      </c>
      <c r="G1333" s="155">
        <f>G1334</f>
        <v>148143</v>
      </c>
      <c r="H1333" s="158"/>
    </row>
    <row r="1334" spans="1:8" ht="36">
      <c r="A1334" s="152" t="s">
        <v>130</v>
      </c>
      <c r="B1334" s="147" t="s">
        <v>567</v>
      </c>
      <c r="C1334" s="147" t="s">
        <v>1145</v>
      </c>
      <c r="D1334" s="147" t="s">
        <v>369</v>
      </c>
      <c r="E1334" s="150"/>
      <c r="F1334" s="155">
        <f>F1335</f>
        <v>148143</v>
      </c>
      <c r="G1334" s="155">
        <f>G1335</f>
        <v>148143</v>
      </c>
      <c r="H1334" s="158"/>
    </row>
    <row r="1335" spans="1:8" ht="36">
      <c r="A1335" s="152" t="s">
        <v>490</v>
      </c>
      <c r="B1335" s="147" t="s">
        <v>567</v>
      </c>
      <c r="C1335" s="147" t="s">
        <v>1145</v>
      </c>
      <c r="D1335" s="147" t="s">
        <v>369</v>
      </c>
      <c r="E1335" s="147" t="s">
        <v>489</v>
      </c>
      <c r="F1335" s="155">
        <f>F1336+F1337</f>
        <v>148143</v>
      </c>
      <c r="G1335" s="155">
        <f>G1336+G1337</f>
        <v>148143</v>
      </c>
      <c r="H1335" s="158"/>
    </row>
    <row r="1336" spans="1:8" ht="15">
      <c r="A1336" s="157" t="s">
        <v>573</v>
      </c>
      <c r="B1336" s="147" t="s">
        <v>567</v>
      </c>
      <c r="C1336" s="147" t="s">
        <v>1145</v>
      </c>
      <c r="D1336" s="147" t="s">
        <v>369</v>
      </c>
      <c r="E1336" s="147" t="s">
        <v>574</v>
      </c>
      <c r="F1336" s="158">
        <f>34459-200-193-29+9395</f>
        <v>43432</v>
      </c>
      <c r="G1336" s="158">
        <f>F1336-H1336</f>
        <v>43432</v>
      </c>
      <c r="H1336" s="158"/>
    </row>
    <row r="1337" spans="1:8" ht="15">
      <c r="A1337" s="157" t="s">
        <v>1125</v>
      </c>
      <c r="B1337" s="147" t="s">
        <v>567</v>
      </c>
      <c r="C1337" s="147" t="s">
        <v>1145</v>
      </c>
      <c r="D1337" s="147" t="s">
        <v>369</v>
      </c>
      <c r="E1337" s="147" t="s">
        <v>1126</v>
      </c>
      <c r="F1337" s="158">
        <f>108105+100+200-430-164-5000+3500-1600</f>
        <v>104711</v>
      </c>
      <c r="G1337" s="158">
        <f>F1337-H1337</f>
        <v>104711</v>
      </c>
      <c r="H1337" s="158"/>
    </row>
    <row r="1338" spans="1:8" ht="48">
      <c r="A1338" s="157" t="s">
        <v>227</v>
      </c>
      <c r="B1338" s="147" t="s">
        <v>567</v>
      </c>
      <c r="C1338" s="147" t="s">
        <v>1145</v>
      </c>
      <c r="D1338" s="147" t="s">
        <v>229</v>
      </c>
      <c r="E1338" s="147"/>
      <c r="F1338" s="155">
        <f>F1339+F1342+F1345+F1348+F1351</f>
        <v>109206.9</v>
      </c>
      <c r="G1338" s="155">
        <f>G1339+G1342+G1345+G1348+G1351</f>
        <v>109206.9</v>
      </c>
      <c r="H1338" s="158"/>
    </row>
    <row r="1339" spans="1:8" ht="120">
      <c r="A1339" s="157" t="s">
        <v>613</v>
      </c>
      <c r="B1339" s="147" t="s">
        <v>567</v>
      </c>
      <c r="C1339" s="147" t="s">
        <v>1145</v>
      </c>
      <c r="D1339" s="147" t="s">
        <v>950</v>
      </c>
      <c r="E1339" s="147"/>
      <c r="F1339" s="155">
        <f>F1340</f>
        <v>29700</v>
      </c>
      <c r="G1339" s="155">
        <f>G1340</f>
        <v>29700</v>
      </c>
      <c r="H1339" s="158"/>
    </row>
    <row r="1340" spans="1:8" ht="36">
      <c r="A1340" s="285" t="s">
        <v>461</v>
      </c>
      <c r="B1340" s="147" t="s">
        <v>567</v>
      </c>
      <c r="C1340" s="147" t="s">
        <v>1145</v>
      </c>
      <c r="D1340" s="147" t="s">
        <v>950</v>
      </c>
      <c r="E1340" s="147" t="s">
        <v>1167</v>
      </c>
      <c r="F1340" s="155">
        <f>F1341</f>
        <v>29700</v>
      </c>
      <c r="G1340" s="155">
        <f>G1341</f>
        <v>29700</v>
      </c>
      <c r="H1340" s="158"/>
    </row>
    <row r="1341" spans="1:8" ht="48">
      <c r="A1341" s="152" t="s">
        <v>1093</v>
      </c>
      <c r="B1341" s="147" t="s">
        <v>567</v>
      </c>
      <c r="C1341" s="147" t="s">
        <v>1145</v>
      </c>
      <c r="D1341" s="147" t="s">
        <v>950</v>
      </c>
      <c r="E1341" s="147" t="s">
        <v>881</v>
      </c>
      <c r="F1341" s="158">
        <v>29700</v>
      </c>
      <c r="G1341" s="155">
        <f>F1341</f>
        <v>29700</v>
      </c>
      <c r="H1341" s="158"/>
    </row>
    <row r="1342" spans="1:8" ht="120">
      <c r="A1342" s="285" t="s">
        <v>871</v>
      </c>
      <c r="B1342" s="147" t="s">
        <v>567</v>
      </c>
      <c r="C1342" s="147" t="s">
        <v>1145</v>
      </c>
      <c r="D1342" s="147" t="s">
        <v>228</v>
      </c>
      <c r="E1342" s="147"/>
      <c r="F1342" s="155">
        <f>F1343</f>
        <v>63365.5</v>
      </c>
      <c r="G1342" s="155">
        <f>G1344</f>
        <v>63365.5</v>
      </c>
      <c r="H1342" s="158"/>
    </row>
    <row r="1343" spans="1:8" ht="36">
      <c r="A1343" s="285" t="s">
        <v>461</v>
      </c>
      <c r="B1343" s="147" t="s">
        <v>567</v>
      </c>
      <c r="C1343" s="147" t="s">
        <v>1145</v>
      </c>
      <c r="D1343" s="147" t="s">
        <v>228</v>
      </c>
      <c r="E1343" s="147" t="s">
        <v>1167</v>
      </c>
      <c r="F1343" s="155">
        <f>F1344</f>
        <v>63365.5</v>
      </c>
      <c r="G1343" s="155">
        <f>F1343</f>
        <v>63365.5</v>
      </c>
      <c r="H1343" s="158"/>
    </row>
    <row r="1344" spans="1:8" ht="48">
      <c r="A1344" s="152" t="s">
        <v>1093</v>
      </c>
      <c r="B1344" s="147" t="s">
        <v>567</v>
      </c>
      <c r="C1344" s="147" t="s">
        <v>1145</v>
      </c>
      <c r="D1344" s="147" t="s">
        <v>228</v>
      </c>
      <c r="E1344" s="147" t="s">
        <v>881</v>
      </c>
      <c r="F1344" s="158">
        <f>16560+46805.5</f>
        <v>63365.5</v>
      </c>
      <c r="G1344" s="158">
        <f>F1344</f>
        <v>63365.5</v>
      </c>
      <c r="H1344" s="158"/>
    </row>
    <row r="1345" spans="1:8" ht="48">
      <c r="A1345" s="198" t="s">
        <v>614</v>
      </c>
      <c r="B1345" s="150" t="s">
        <v>567</v>
      </c>
      <c r="C1345" s="150" t="s">
        <v>1145</v>
      </c>
      <c r="D1345" s="147" t="s">
        <v>230</v>
      </c>
      <c r="E1345" s="150"/>
      <c r="F1345" s="155">
        <f>F1346</f>
        <v>15841.400000000001</v>
      </c>
      <c r="G1345" s="155">
        <f>G1347</f>
        <v>15841.400000000001</v>
      </c>
      <c r="H1345" s="158"/>
    </row>
    <row r="1346" spans="1:8" ht="27.75" customHeight="1">
      <c r="A1346" s="285" t="s">
        <v>461</v>
      </c>
      <c r="B1346" s="150" t="s">
        <v>567</v>
      </c>
      <c r="C1346" s="150" t="s">
        <v>1145</v>
      </c>
      <c r="D1346" s="147" t="s">
        <v>230</v>
      </c>
      <c r="E1346" s="150" t="s">
        <v>1167</v>
      </c>
      <c r="F1346" s="155">
        <f>F1347</f>
        <v>15841.400000000001</v>
      </c>
      <c r="G1346" s="155">
        <f>F1346</f>
        <v>15841.400000000001</v>
      </c>
      <c r="H1346" s="158"/>
    </row>
    <row r="1347" spans="1:8" ht="48">
      <c r="A1347" s="152" t="s">
        <v>1093</v>
      </c>
      <c r="B1347" s="150" t="s">
        <v>567</v>
      </c>
      <c r="C1347" s="150" t="s">
        <v>1145</v>
      </c>
      <c r="D1347" s="147" t="s">
        <v>230</v>
      </c>
      <c r="E1347" s="150" t="s">
        <v>881</v>
      </c>
      <c r="F1347" s="158">
        <f>63348-47506.6+300-300</f>
        <v>15841.400000000001</v>
      </c>
      <c r="G1347" s="158">
        <f>F1347</f>
        <v>15841.400000000001</v>
      </c>
      <c r="H1347" s="158"/>
    </row>
    <row r="1348" spans="1:8" ht="36">
      <c r="A1348" s="152" t="s">
        <v>1333</v>
      </c>
      <c r="B1348" s="150" t="s">
        <v>567</v>
      </c>
      <c r="C1348" s="150" t="s">
        <v>1145</v>
      </c>
      <c r="D1348" s="147" t="s">
        <v>1334</v>
      </c>
      <c r="E1348" s="150"/>
      <c r="F1348" s="279">
        <f>F1349</f>
        <v>300</v>
      </c>
      <c r="G1348" s="279">
        <f>G1349</f>
        <v>300</v>
      </c>
      <c r="H1348" s="158"/>
    </row>
    <row r="1349" spans="1:8" ht="36">
      <c r="A1349" s="285" t="s">
        <v>461</v>
      </c>
      <c r="B1349" s="150" t="s">
        <v>567</v>
      </c>
      <c r="C1349" s="150" t="s">
        <v>1145</v>
      </c>
      <c r="D1349" s="147" t="s">
        <v>1334</v>
      </c>
      <c r="E1349" s="150" t="s">
        <v>1167</v>
      </c>
      <c r="F1349" s="279">
        <f>F1350</f>
        <v>300</v>
      </c>
      <c r="G1349" s="279">
        <f>G1350</f>
        <v>300</v>
      </c>
      <c r="H1349" s="158"/>
    </row>
    <row r="1350" spans="1:8" ht="48">
      <c r="A1350" s="152" t="s">
        <v>1093</v>
      </c>
      <c r="B1350" s="150" t="s">
        <v>567</v>
      </c>
      <c r="C1350" s="150" t="s">
        <v>1145</v>
      </c>
      <c r="D1350" s="147" t="s">
        <v>1334</v>
      </c>
      <c r="E1350" s="150" t="s">
        <v>881</v>
      </c>
      <c r="F1350" s="158">
        <f>14092-14092+300</f>
        <v>300</v>
      </c>
      <c r="G1350" s="158">
        <f>F1350</f>
        <v>300</v>
      </c>
      <c r="H1350" s="158"/>
    </row>
    <row r="1351" spans="1:8" ht="24">
      <c r="A1351" s="152" t="s">
        <v>1622</v>
      </c>
      <c r="B1351" s="150" t="s">
        <v>567</v>
      </c>
      <c r="C1351" s="150" t="s">
        <v>1145</v>
      </c>
      <c r="D1351" s="147" t="s">
        <v>1623</v>
      </c>
      <c r="E1351" s="150"/>
      <c r="F1351" s="279">
        <f>F1352</f>
        <v>0</v>
      </c>
      <c r="G1351" s="279">
        <f>G1352</f>
        <v>0</v>
      </c>
      <c r="H1351" s="158"/>
    </row>
    <row r="1352" spans="1:8" ht="36">
      <c r="A1352" s="285" t="s">
        <v>461</v>
      </c>
      <c r="B1352" s="147" t="s">
        <v>567</v>
      </c>
      <c r="C1352" s="147" t="s">
        <v>1145</v>
      </c>
      <c r="D1352" s="147" t="s">
        <v>1623</v>
      </c>
      <c r="E1352" s="150" t="s">
        <v>1167</v>
      </c>
      <c r="F1352" s="279">
        <f>F1353</f>
        <v>0</v>
      </c>
      <c r="G1352" s="279">
        <f>G1353</f>
        <v>0</v>
      </c>
      <c r="H1352" s="158"/>
    </row>
    <row r="1353" spans="1:8" ht="48">
      <c r="A1353" s="152" t="s">
        <v>1093</v>
      </c>
      <c r="B1353" s="147" t="s">
        <v>567</v>
      </c>
      <c r="C1353" s="147" t="s">
        <v>1145</v>
      </c>
      <c r="D1353" s="147" t="s">
        <v>1623</v>
      </c>
      <c r="E1353" s="150" t="s">
        <v>881</v>
      </c>
      <c r="F1353" s="158">
        <v>0</v>
      </c>
      <c r="G1353" s="158">
        <f>F1353</f>
        <v>0</v>
      </c>
      <c r="H1353" s="158"/>
    </row>
    <row r="1354" spans="1:8" ht="72">
      <c r="A1354" s="152" t="s">
        <v>231</v>
      </c>
      <c r="B1354" s="147" t="s">
        <v>567</v>
      </c>
      <c r="C1354" s="147" t="s">
        <v>1145</v>
      </c>
      <c r="D1354" s="147" t="s">
        <v>232</v>
      </c>
      <c r="E1354" s="150"/>
      <c r="F1354" s="279">
        <f>F1355+F1360</f>
        <v>64398.6</v>
      </c>
      <c r="G1354" s="279">
        <f>G1355+G1360</f>
        <v>64398.6</v>
      </c>
      <c r="H1354" s="158"/>
    </row>
    <row r="1355" spans="1:8" ht="24">
      <c r="A1355" s="152" t="s">
        <v>234</v>
      </c>
      <c r="B1355" s="147" t="s">
        <v>567</v>
      </c>
      <c r="C1355" s="147" t="s">
        <v>1145</v>
      </c>
      <c r="D1355" s="147" t="s">
        <v>233</v>
      </c>
      <c r="E1355" s="150"/>
      <c r="F1355" s="279">
        <f>F1356</f>
        <v>6730</v>
      </c>
      <c r="G1355" s="279">
        <f>F1355</f>
        <v>6730</v>
      </c>
      <c r="H1355" s="158"/>
    </row>
    <row r="1356" spans="1:8" ht="36">
      <c r="A1356" s="152" t="s">
        <v>490</v>
      </c>
      <c r="B1356" s="147" t="s">
        <v>567</v>
      </c>
      <c r="C1356" s="147" t="s">
        <v>1145</v>
      </c>
      <c r="D1356" s="147" t="s">
        <v>233</v>
      </c>
      <c r="E1356" s="150" t="s">
        <v>489</v>
      </c>
      <c r="F1356" s="279">
        <f>F1357</f>
        <v>6730</v>
      </c>
      <c r="G1356" s="279">
        <f>F1356</f>
        <v>6730</v>
      </c>
      <c r="H1356" s="158"/>
    </row>
    <row r="1357" spans="1:8" ht="24">
      <c r="A1357" s="157" t="s">
        <v>561</v>
      </c>
      <c r="B1357" s="147" t="s">
        <v>567</v>
      </c>
      <c r="C1357" s="147" t="s">
        <v>1145</v>
      </c>
      <c r="D1357" s="147" t="s">
        <v>233</v>
      </c>
      <c r="E1357" s="150" t="s">
        <v>1126</v>
      </c>
      <c r="F1357" s="279">
        <f>F1358+F1359</f>
        <v>6730</v>
      </c>
      <c r="G1357" s="279">
        <f>F1357</f>
        <v>6730</v>
      </c>
      <c r="H1357" s="158"/>
    </row>
    <row r="1358" spans="1:8" ht="36">
      <c r="A1358" s="152" t="s">
        <v>1721</v>
      </c>
      <c r="B1358" s="147" t="s">
        <v>567</v>
      </c>
      <c r="C1358" s="147" t="s">
        <v>1145</v>
      </c>
      <c r="D1358" s="147" t="s">
        <v>233</v>
      </c>
      <c r="E1358" s="150" t="s">
        <v>1126</v>
      </c>
      <c r="F1358" s="158">
        <f>5000-470</f>
        <v>4530</v>
      </c>
      <c r="G1358" s="279">
        <f>F1358</f>
        <v>4530</v>
      </c>
      <c r="H1358" s="158"/>
    </row>
    <row r="1359" spans="1:8" ht="24">
      <c r="A1359" s="152" t="s">
        <v>1814</v>
      </c>
      <c r="B1359" s="147" t="s">
        <v>567</v>
      </c>
      <c r="C1359" s="147" t="s">
        <v>1145</v>
      </c>
      <c r="D1359" s="147" t="s">
        <v>233</v>
      </c>
      <c r="E1359" s="150" t="s">
        <v>1126</v>
      </c>
      <c r="F1359" s="158">
        <v>2200</v>
      </c>
      <c r="G1359" s="325">
        <f>F1359</f>
        <v>2200</v>
      </c>
      <c r="H1359" s="158"/>
    </row>
    <row r="1360" spans="1:8" ht="24">
      <c r="A1360" s="157" t="s">
        <v>1624</v>
      </c>
      <c r="B1360" s="150" t="s">
        <v>567</v>
      </c>
      <c r="C1360" s="150" t="s">
        <v>1145</v>
      </c>
      <c r="D1360" s="147" t="s">
        <v>954</v>
      </c>
      <c r="E1360" s="150"/>
      <c r="F1360" s="279">
        <f>F1361</f>
        <v>57668.6</v>
      </c>
      <c r="G1360" s="279">
        <f>G1361</f>
        <v>57668.6</v>
      </c>
      <c r="H1360" s="158"/>
    </row>
    <row r="1361" spans="1:8" ht="36">
      <c r="A1361" s="152" t="s">
        <v>490</v>
      </c>
      <c r="B1361" s="150" t="s">
        <v>567</v>
      </c>
      <c r="C1361" s="150" t="s">
        <v>1145</v>
      </c>
      <c r="D1361" s="147" t="s">
        <v>954</v>
      </c>
      <c r="E1361" s="150" t="s">
        <v>489</v>
      </c>
      <c r="F1361" s="279">
        <f>F1362</f>
        <v>57668.6</v>
      </c>
      <c r="G1361" s="279">
        <f>G1362</f>
        <v>57668.6</v>
      </c>
      <c r="H1361" s="158"/>
    </row>
    <row r="1362" spans="1:8" ht="24">
      <c r="A1362" s="157" t="s">
        <v>561</v>
      </c>
      <c r="B1362" s="150" t="s">
        <v>567</v>
      </c>
      <c r="C1362" s="150" t="s">
        <v>1145</v>
      </c>
      <c r="D1362" s="147" t="s">
        <v>954</v>
      </c>
      <c r="E1362" s="150" t="s">
        <v>1126</v>
      </c>
      <c r="F1362" s="279">
        <f>F1363+F1364+F1365</f>
        <v>57668.6</v>
      </c>
      <c r="G1362" s="279">
        <f>G1363+G1364+G1365</f>
        <v>57668.6</v>
      </c>
      <c r="H1362" s="158"/>
    </row>
    <row r="1363" spans="1:8" ht="24">
      <c r="A1363" s="152" t="s">
        <v>1625</v>
      </c>
      <c r="B1363" s="150" t="s">
        <v>567</v>
      </c>
      <c r="C1363" s="150" t="s">
        <v>1145</v>
      </c>
      <c r="D1363" s="147" t="s">
        <v>954</v>
      </c>
      <c r="E1363" s="150" t="s">
        <v>1126</v>
      </c>
      <c r="F1363" s="158">
        <f>14092+2555.8-16647.8</f>
        <v>0</v>
      </c>
      <c r="G1363" s="279">
        <f aca="true" t="shared" si="80" ref="G1363:G1376">F1363</f>
        <v>0</v>
      </c>
      <c r="H1363" s="158"/>
    </row>
    <row r="1364" spans="1:8" ht="48">
      <c r="A1364" s="152" t="s">
        <v>1704</v>
      </c>
      <c r="B1364" s="150" t="s">
        <v>567</v>
      </c>
      <c r="C1364" s="150" t="s">
        <v>1145</v>
      </c>
      <c r="D1364" s="147" t="s">
        <v>954</v>
      </c>
      <c r="E1364" s="150" t="s">
        <v>1126</v>
      </c>
      <c r="F1364" s="158">
        <f>19000-130</f>
        <v>18870</v>
      </c>
      <c r="G1364" s="279">
        <f t="shared" si="80"/>
        <v>18870</v>
      </c>
      <c r="H1364" s="158"/>
    </row>
    <row r="1365" spans="1:8" ht="48">
      <c r="A1365" s="152" t="s">
        <v>1705</v>
      </c>
      <c r="B1365" s="150" t="s">
        <v>567</v>
      </c>
      <c r="C1365" s="150" t="s">
        <v>1145</v>
      </c>
      <c r="D1365" s="147" t="s">
        <v>954</v>
      </c>
      <c r="E1365" s="150" t="s">
        <v>1126</v>
      </c>
      <c r="F1365" s="158">
        <f>25950.8+13147.8-300</f>
        <v>38798.6</v>
      </c>
      <c r="G1365" s="279">
        <f t="shared" si="80"/>
        <v>38798.6</v>
      </c>
      <c r="H1365" s="158"/>
    </row>
    <row r="1366" spans="1:8" ht="36">
      <c r="A1366" s="160" t="s">
        <v>1276</v>
      </c>
      <c r="B1366" s="150" t="s">
        <v>567</v>
      </c>
      <c r="C1366" s="150" t="s">
        <v>1145</v>
      </c>
      <c r="D1366" s="147" t="s">
        <v>193</v>
      </c>
      <c r="E1366" s="150"/>
      <c r="F1366" s="279">
        <f aca="true" t="shared" si="81" ref="F1366:F1371">F1367</f>
        <v>8000</v>
      </c>
      <c r="G1366" s="279">
        <f t="shared" si="80"/>
        <v>8000</v>
      </c>
      <c r="H1366" s="158"/>
    </row>
    <row r="1367" spans="1:8" ht="36">
      <c r="A1367" s="15" t="s">
        <v>1297</v>
      </c>
      <c r="B1367" s="150" t="s">
        <v>567</v>
      </c>
      <c r="C1367" s="150" t="s">
        <v>1145</v>
      </c>
      <c r="D1367" s="147" t="s">
        <v>203</v>
      </c>
      <c r="E1367" s="150"/>
      <c r="F1367" s="279">
        <f t="shared" si="81"/>
        <v>8000</v>
      </c>
      <c r="G1367" s="279">
        <f t="shared" si="80"/>
        <v>8000</v>
      </c>
      <c r="H1367" s="158"/>
    </row>
    <row r="1368" spans="1:8" ht="60">
      <c r="A1368" s="153" t="s">
        <v>1544</v>
      </c>
      <c r="B1368" s="150" t="s">
        <v>567</v>
      </c>
      <c r="C1368" s="150" t="s">
        <v>1145</v>
      </c>
      <c r="D1368" s="147" t="s">
        <v>1473</v>
      </c>
      <c r="E1368" s="150"/>
      <c r="F1368" s="279">
        <f t="shared" si="81"/>
        <v>8000</v>
      </c>
      <c r="G1368" s="279">
        <f t="shared" si="80"/>
        <v>8000</v>
      </c>
      <c r="H1368" s="158"/>
    </row>
    <row r="1369" spans="1:8" ht="24">
      <c r="A1369" s="15" t="s">
        <v>201</v>
      </c>
      <c r="B1369" s="150" t="s">
        <v>567</v>
      </c>
      <c r="C1369" s="150" t="s">
        <v>1145</v>
      </c>
      <c r="D1369" s="147" t="s">
        <v>1474</v>
      </c>
      <c r="E1369" s="150"/>
      <c r="F1369" s="279">
        <f t="shared" si="81"/>
        <v>8000</v>
      </c>
      <c r="G1369" s="279">
        <f t="shared" si="80"/>
        <v>8000</v>
      </c>
      <c r="H1369" s="158"/>
    </row>
    <row r="1370" spans="1:8" ht="36">
      <c r="A1370" s="152" t="s">
        <v>490</v>
      </c>
      <c r="B1370" s="150" t="s">
        <v>567</v>
      </c>
      <c r="C1370" s="150" t="s">
        <v>1145</v>
      </c>
      <c r="D1370" s="147" t="s">
        <v>1474</v>
      </c>
      <c r="E1370" s="150" t="s">
        <v>489</v>
      </c>
      <c r="F1370" s="279">
        <f t="shared" si="81"/>
        <v>8000</v>
      </c>
      <c r="G1370" s="279">
        <f t="shared" si="80"/>
        <v>8000</v>
      </c>
      <c r="H1370" s="158"/>
    </row>
    <row r="1371" spans="1:8" ht="24">
      <c r="A1371" s="157" t="s">
        <v>561</v>
      </c>
      <c r="B1371" s="150" t="s">
        <v>567</v>
      </c>
      <c r="C1371" s="150" t="s">
        <v>1145</v>
      </c>
      <c r="D1371" s="147" t="s">
        <v>1474</v>
      </c>
      <c r="E1371" s="150" t="s">
        <v>1126</v>
      </c>
      <c r="F1371" s="279">
        <f t="shared" si="81"/>
        <v>8000</v>
      </c>
      <c r="G1371" s="279">
        <f t="shared" si="80"/>
        <v>8000</v>
      </c>
      <c r="H1371" s="158"/>
    </row>
    <row r="1372" spans="1:8" ht="72">
      <c r="A1372" s="152" t="s">
        <v>1722</v>
      </c>
      <c r="B1372" s="150" t="s">
        <v>567</v>
      </c>
      <c r="C1372" s="150" t="s">
        <v>1145</v>
      </c>
      <c r="D1372" s="147" t="s">
        <v>1474</v>
      </c>
      <c r="E1372" s="150" t="s">
        <v>1126</v>
      </c>
      <c r="F1372" s="158">
        <v>8000</v>
      </c>
      <c r="G1372" s="279">
        <f t="shared" si="80"/>
        <v>8000</v>
      </c>
      <c r="H1372" s="158"/>
    </row>
    <row r="1373" spans="1:8" ht="36">
      <c r="A1373" s="157" t="s">
        <v>1078</v>
      </c>
      <c r="B1373" s="150" t="s">
        <v>567</v>
      </c>
      <c r="C1373" s="150" t="s">
        <v>1145</v>
      </c>
      <c r="D1373" s="147" t="s">
        <v>1079</v>
      </c>
      <c r="E1373" s="147"/>
      <c r="F1373" s="279">
        <f>F1374</f>
        <v>800</v>
      </c>
      <c r="G1373" s="279">
        <f t="shared" si="80"/>
        <v>800</v>
      </c>
      <c r="H1373" s="158"/>
    </row>
    <row r="1374" spans="1:8" ht="36">
      <c r="A1374" s="152" t="s">
        <v>490</v>
      </c>
      <c r="B1374" s="150" t="s">
        <v>567</v>
      </c>
      <c r="C1374" s="150" t="s">
        <v>1145</v>
      </c>
      <c r="D1374" s="147" t="s">
        <v>1079</v>
      </c>
      <c r="E1374" s="147" t="s">
        <v>489</v>
      </c>
      <c r="F1374" s="279">
        <f>F1375</f>
        <v>800</v>
      </c>
      <c r="G1374" s="279">
        <f t="shared" si="80"/>
        <v>800</v>
      </c>
      <c r="H1374" s="158"/>
    </row>
    <row r="1375" spans="1:8" ht="24">
      <c r="A1375" s="157" t="s">
        <v>491</v>
      </c>
      <c r="B1375" s="150" t="s">
        <v>567</v>
      </c>
      <c r="C1375" s="150" t="s">
        <v>1145</v>
      </c>
      <c r="D1375" s="147" t="s">
        <v>1079</v>
      </c>
      <c r="E1375" s="147" t="s">
        <v>574</v>
      </c>
      <c r="F1375" s="279">
        <f>F1376</f>
        <v>800</v>
      </c>
      <c r="G1375" s="279">
        <f t="shared" si="80"/>
        <v>800</v>
      </c>
      <c r="H1375" s="158"/>
    </row>
    <row r="1376" spans="1:8" ht="72">
      <c r="A1376" s="157" t="s">
        <v>1706</v>
      </c>
      <c r="B1376" s="150" t="s">
        <v>567</v>
      </c>
      <c r="C1376" s="150" t="s">
        <v>1145</v>
      </c>
      <c r="D1376" s="147" t="s">
        <v>1079</v>
      </c>
      <c r="E1376" s="147" t="s">
        <v>574</v>
      </c>
      <c r="F1376" s="158">
        <v>800</v>
      </c>
      <c r="G1376" s="279">
        <f t="shared" si="80"/>
        <v>800</v>
      </c>
      <c r="H1376" s="158"/>
    </row>
    <row r="1377" spans="1:8" ht="22.5">
      <c r="A1377" s="162" t="s">
        <v>278</v>
      </c>
      <c r="B1377" s="147" t="s">
        <v>438</v>
      </c>
      <c r="C1377" s="147"/>
      <c r="D1377" s="147"/>
      <c r="E1377" s="147"/>
      <c r="F1377" s="318">
        <f>F1378+F1389</f>
        <v>28362.5</v>
      </c>
      <c r="G1377" s="167">
        <f aca="true" t="shared" si="82" ref="G1377:G1398">F1377-H1377</f>
        <v>28362.5</v>
      </c>
      <c r="H1377" s="158"/>
    </row>
    <row r="1378" spans="1:8" ht="15">
      <c r="A1378" s="199" t="s">
        <v>787</v>
      </c>
      <c r="B1378" s="147" t="s">
        <v>438</v>
      </c>
      <c r="C1378" s="147" t="s">
        <v>1145</v>
      </c>
      <c r="D1378" s="146"/>
      <c r="E1378" s="146"/>
      <c r="F1378" s="155">
        <f>F1379</f>
        <v>11313</v>
      </c>
      <c r="G1378" s="155">
        <f t="shared" si="82"/>
        <v>11313</v>
      </c>
      <c r="H1378" s="158"/>
    </row>
    <row r="1379" spans="1:8" ht="60">
      <c r="A1379" s="160" t="s">
        <v>1537</v>
      </c>
      <c r="B1379" s="147" t="s">
        <v>438</v>
      </c>
      <c r="C1379" s="147" t="s">
        <v>1145</v>
      </c>
      <c r="D1379" s="147" t="s">
        <v>1010</v>
      </c>
      <c r="E1379" s="147"/>
      <c r="F1379" s="155">
        <f>F1380+F1384</f>
        <v>11313</v>
      </c>
      <c r="G1379" s="155">
        <f t="shared" si="82"/>
        <v>11313</v>
      </c>
      <c r="H1379" s="158"/>
    </row>
    <row r="1380" spans="1:8" ht="84">
      <c r="A1380" s="152" t="s">
        <v>1579</v>
      </c>
      <c r="B1380" s="147" t="s">
        <v>438</v>
      </c>
      <c r="C1380" s="147" t="s">
        <v>1145</v>
      </c>
      <c r="D1380" s="147" t="s">
        <v>1580</v>
      </c>
      <c r="E1380" s="147"/>
      <c r="F1380" s="155">
        <f>F1381</f>
        <v>11313</v>
      </c>
      <c r="G1380" s="155">
        <f t="shared" si="82"/>
        <v>11313</v>
      </c>
      <c r="H1380" s="158"/>
    </row>
    <row r="1381" spans="1:8" ht="24">
      <c r="A1381" s="157" t="s">
        <v>1150</v>
      </c>
      <c r="B1381" s="147" t="s">
        <v>438</v>
      </c>
      <c r="C1381" s="147" t="s">
        <v>1145</v>
      </c>
      <c r="D1381" s="147" t="s">
        <v>1581</v>
      </c>
      <c r="E1381" s="147"/>
      <c r="F1381" s="155">
        <f>F1382</f>
        <v>11313</v>
      </c>
      <c r="G1381" s="155">
        <f t="shared" si="82"/>
        <v>11313</v>
      </c>
      <c r="H1381" s="158"/>
    </row>
    <row r="1382" spans="1:8" ht="36">
      <c r="A1382" s="152" t="s">
        <v>490</v>
      </c>
      <c r="B1382" s="147" t="s">
        <v>438</v>
      </c>
      <c r="C1382" s="147" t="s">
        <v>1145</v>
      </c>
      <c r="D1382" s="147" t="s">
        <v>1581</v>
      </c>
      <c r="E1382" s="147" t="s">
        <v>489</v>
      </c>
      <c r="F1382" s="155">
        <f>F1383</f>
        <v>11313</v>
      </c>
      <c r="G1382" s="155">
        <f t="shared" si="82"/>
        <v>11313</v>
      </c>
      <c r="H1382" s="158"/>
    </row>
    <row r="1383" spans="1:8" ht="15">
      <c r="A1383" s="157" t="s">
        <v>371</v>
      </c>
      <c r="B1383" s="147" t="s">
        <v>438</v>
      </c>
      <c r="C1383" s="147" t="s">
        <v>1145</v>
      </c>
      <c r="D1383" s="147" t="s">
        <v>1581</v>
      </c>
      <c r="E1383" s="147" t="s">
        <v>574</v>
      </c>
      <c r="F1383" s="158">
        <f>11500-187</f>
        <v>11313</v>
      </c>
      <c r="G1383" s="155">
        <f t="shared" si="82"/>
        <v>11313</v>
      </c>
      <c r="H1383" s="158"/>
    </row>
    <row r="1384" spans="1:8" ht="60">
      <c r="A1384" s="152" t="s">
        <v>1335</v>
      </c>
      <c r="B1384" s="147" t="s">
        <v>438</v>
      </c>
      <c r="C1384" s="147" t="s">
        <v>1145</v>
      </c>
      <c r="D1384" s="147" t="s">
        <v>675</v>
      </c>
      <c r="E1384" s="147"/>
      <c r="F1384" s="155">
        <f>F1386</f>
        <v>0</v>
      </c>
      <c r="G1384" s="155">
        <f t="shared" si="82"/>
        <v>0</v>
      </c>
      <c r="H1384" s="158"/>
    </row>
    <row r="1385" spans="1:8" ht="48">
      <c r="A1385" s="254" t="s">
        <v>674</v>
      </c>
      <c r="B1385" s="147" t="s">
        <v>438</v>
      </c>
      <c r="C1385" s="147" t="s">
        <v>1145</v>
      </c>
      <c r="D1385" s="147" t="s">
        <v>676</v>
      </c>
      <c r="E1385" s="147"/>
      <c r="F1385" s="155">
        <f>F1386</f>
        <v>0</v>
      </c>
      <c r="G1385" s="155">
        <f t="shared" si="82"/>
        <v>0</v>
      </c>
      <c r="H1385" s="158"/>
    </row>
    <row r="1386" spans="1:8" ht="24">
      <c r="A1386" s="157" t="s">
        <v>1150</v>
      </c>
      <c r="B1386" s="147" t="s">
        <v>438</v>
      </c>
      <c r="C1386" s="147" t="s">
        <v>1145</v>
      </c>
      <c r="D1386" s="147" t="s">
        <v>1106</v>
      </c>
      <c r="E1386" s="147"/>
      <c r="F1386" s="155">
        <f>F1387</f>
        <v>0</v>
      </c>
      <c r="G1386" s="155">
        <f t="shared" si="82"/>
        <v>0</v>
      </c>
      <c r="H1386" s="155"/>
    </row>
    <row r="1387" spans="1:8" ht="36">
      <c r="A1387" s="152" t="s">
        <v>490</v>
      </c>
      <c r="B1387" s="147" t="s">
        <v>438</v>
      </c>
      <c r="C1387" s="147" t="s">
        <v>1145</v>
      </c>
      <c r="D1387" s="147" t="s">
        <v>1106</v>
      </c>
      <c r="E1387" s="147" t="s">
        <v>489</v>
      </c>
      <c r="F1387" s="155">
        <f>F1388</f>
        <v>0</v>
      </c>
      <c r="G1387" s="155">
        <f t="shared" si="82"/>
        <v>0</v>
      </c>
      <c r="H1387" s="155"/>
    </row>
    <row r="1388" spans="1:8" ht="24">
      <c r="A1388" s="157" t="s">
        <v>491</v>
      </c>
      <c r="B1388" s="147" t="s">
        <v>438</v>
      </c>
      <c r="C1388" s="147" t="s">
        <v>1145</v>
      </c>
      <c r="D1388" s="147" t="s">
        <v>1106</v>
      </c>
      <c r="E1388" s="147" t="s">
        <v>574</v>
      </c>
      <c r="F1388" s="158">
        <f>11500-11500</f>
        <v>0</v>
      </c>
      <c r="G1388" s="155">
        <f t="shared" si="82"/>
        <v>0</v>
      </c>
      <c r="H1388" s="158"/>
    </row>
    <row r="1389" spans="1:8" ht="15">
      <c r="A1389" s="190" t="s">
        <v>788</v>
      </c>
      <c r="B1389" s="147" t="s">
        <v>438</v>
      </c>
      <c r="C1389" s="147" t="s">
        <v>405</v>
      </c>
      <c r="D1389" s="147"/>
      <c r="E1389" s="147"/>
      <c r="F1389" s="155">
        <f>F1390</f>
        <v>17049.5</v>
      </c>
      <c r="G1389" s="155">
        <f t="shared" si="82"/>
        <v>17049.5</v>
      </c>
      <c r="H1389" s="158"/>
    </row>
    <row r="1390" spans="1:8" ht="60">
      <c r="A1390" s="160" t="s">
        <v>1537</v>
      </c>
      <c r="B1390" s="147" t="s">
        <v>438</v>
      </c>
      <c r="C1390" s="147" t="s">
        <v>405</v>
      </c>
      <c r="D1390" s="147" t="s">
        <v>1010</v>
      </c>
      <c r="E1390" s="147"/>
      <c r="F1390" s="155">
        <f>F1391+F1398</f>
        <v>17049.5</v>
      </c>
      <c r="G1390" s="155">
        <f t="shared" si="82"/>
        <v>17049.5</v>
      </c>
      <c r="H1390" s="158"/>
    </row>
    <row r="1391" spans="1:8" ht="84">
      <c r="A1391" s="152" t="s">
        <v>1579</v>
      </c>
      <c r="B1391" s="147" t="s">
        <v>438</v>
      </c>
      <c r="C1391" s="147" t="s">
        <v>405</v>
      </c>
      <c r="D1391" s="147" t="s">
        <v>1580</v>
      </c>
      <c r="E1391" s="147"/>
      <c r="F1391" s="155">
        <f>F1392</f>
        <v>17049.5</v>
      </c>
      <c r="G1391" s="155">
        <f t="shared" si="82"/>
        <v>17049.5</v>
      </c>
      <c r="H1391" s="158"/>
    </row>
    <row r="1392" spans="1:8" ht="36">
      <c r="A1392" s="157" t="s">
        <v>922</v>
      </c>
      <c r="B1392" s="147" t="s">
        <v>438</v>
      </c>
      <c r="C1392" s="147" t="s">
        <v>405</v>
      </c>
      <c r="D1392" s="147" t="s">
        <v>1582</v>
      </c>
      <c r="E1392" s="147"/>
      <c r="F1392" s="155">
        <f>F1393</f>
        <v>17049.5</v>
      </c>
      <c r="G1392" s="155">
        <f t="shared" si="82"/>
        <v>17049.5</v>
      </c>
      <c r="H1392" s="158"/>
    </row>
    <row r="1393" spans="1:8" ht="36">
      <c r="A1393" s="152" t="s">
        <v>490</v>
      </c>
      <c r="B1393" s="147" t="s">
        <v>438</v>
      </c>
      <c r="C1393" s="147" t="s">
        <v>405</v>
      </c>
      <c r="D1393" s="147" t="s">
        <v>1582</v>
      </c>
      <c r="E1393" s="147" t="s">
        <v>489</v>
      </c>
      <c r="F1393" s="155">
        <f>F1394</f>
        <v>17049.5</v>
      </c>
      <c r="G1393" s="155">
        <f t="shared" si="82"/>
        <v>17049.5</v>
      </c>
      <c r="H1393" s="158"/>
    </row>
    <row r="1394" spans="1:8" ht="24">
      <c r="A1394" s="157" t="s">
        <v>896</v>
      </c>
      <c r="B1394" s="147" t="s">
        <v>438</v>
      </c>
      <c r="C1394" s="147" t="s">
        <v>405</v>
      </c>
      <c r="D1394" s="147" t="s">
        <v>1582</v>
      </c>
      <c r="E1394" s="147" t="s">
        <v>574</v>
      </c>
      <c r="F1394" s="155">
        <f>F1395+F1396+F1397</f>
        <v>17049.5</v>
      </c>
      <c r="G1394" s="155">
        <f t="shared" si="82"/>
        <v>17049.5</v>
      </c>
      <c r="H1394" s="158"/>
    </row>
    <row r="1395" spans="1:8" ht="24">
      <c r="A1395" s="157" t="s">
        <v>501</v>
      </c>
      <c r="B1395" s="147" t="s">
        <v>438</v>
      </c>
      <c r="C1395" s="147" t="s">
        <v>405</v>
      </c>
      <c r="D1395" s="147" t="s">
        <v>1582</v>
      </c>
      <c r="E1395" s="147" t="s">
        <v>574</v>
      </c>
      <c r="F1395" s="158">
        <f>17565.4-4722.7</f>
        <v>12842.7</v>
      </c>
      <c r="G1395" s="155">
        <f t="shared" si="82"/>
        <v>12842.7</v>
      </c>
      <c r="H1395" s="158"/>
    </row>
    <row r="1396" spans="1:8" ht="48">
      <c r="A1396" s="157" t="s">
        <v>1493</v>
      </c>
      <c r="B1396" s="147" t="s">
        <v>438</v>
      </c>
      <c r="C1396" s="147" t="s">
        <v>405</v>
      </c>
      <c r="D1396" s="147" t="s">
        <v>1582</v>
      </c>
      <c r="E1396" s="147" t="s">
        <v>574</v>
      </c>
      <c r="F1396" s="158">
        <f>2105.5-87.5</f>
        <v>2018</v>
      </c>
      <c r="G1396" s="155">
        <f t="shared" si="82"/>
        <v>2018</v>
      </c>
      <c r="H1396" s="158"/>
    </row>
    <row r="1397" spans="1:8" ht="36">
      <c r="A1397" s="157" t="s">
        <v>1494</v>
      </c>
      <c r="B1397" s="147" t="s">
        <v>438</v>
      </c>
      <c r="C1397" s="147" t="s">
        <v>405</v>
      </c>
      <c r="D1397" s="147" t="s">
        <v>1582</v>
      </c>
      <c r="E1397" s="147" t="s">
        <v>574</v>
      </c>
      <c r="F1397" s="158">
        <f>2370.4-181.6</f>
        <v>2188.8</v>
      </c>
      <c r="G1397" s="155">
        <f t="shared" si="82"/>
        <v>2188.8</v>
      </c>
      <c r="H1397" s="158"/>
    </row>
    <row r="1398" spans="1:8" ht="60">
      <c r="A1398" s="152" t="s">
        <v>1335</v>
      </c>
      <c r="B1398" s="147" t="s">
        <v>438</v>
      </c>
      <c r="C1398" s="147" t="s">
        <v>405</v>
      </c>
      <c r="D1398" s="147" t="s">
        <v>675</v>
      </c>
      <c r="E1398" s="147"/>
      <c r="F1398" s="155">
        <f>F1400</f>
        <v>0</v>
      </c>
      <c r="G1398" s="155">
        <f t="shared" si="82"/>
        <v>0</v>
      </c>
      <c r="H1398" s="158"/>
    </row>
    <row r="1399" spans="1:8" ht="48">
      <c r="A1399" s="152" t="s">
        <v>673</v>
      </c>
      <c r="B1399" s="147" t="s">
        <v>438</v>
      </c>
      <c r="C1399" s="147" t="s">
        <v>405</v>
      </c>
      <c r="D1399" s="147" t="s">
        <v>473</v>
      </c>
      <c r="E1399" s="147"/>
      <c r="F1399" s="155">
        <f>F1400</f>
        <v>0</v>
      </c>
      <c r="G1399" s="155">
        <f>F1399</f>
        <v>0</v>
      </c>
      <c r="H1399" s="158"/>
    </row>
    <row r="1400" spans="1:8" ht="36">
      <c r="A1400" s="157" t="s">
        <v>922</v>
      </c>
      <c r="B1400" s="147" t="s">
        <v>438</v>
      </c>
      <c r="C1400" s="147" t="s">
        <v>405</v>
      </c>
      <c r="D1400" s="147" t="s">
        <v>474</v>
      </c>
      <c r="E1400" s="147"/>
      <c r="F1400" s="155">
        <f>F1401</f>
        <v>0</v>
      </c>
      <c r="G1400" s="155">
        <f aca="true" t="shared" si="83" ref="G1400:G1416">F1400-H1400</f>
        <v>0</v>
      </c>
      <c r="H1400" s="155"/>
    </row>
    <row r="1401" spans="1:8" ht="36">
      <c r="A1401" s="152" t="s">
        <v>490</v>
      </c>
      <c r="B1401" s="147" t="s">
        <v>438</v>
      </c>
      <c r="C1401" s="147" t="s">
        <v>405</v>
      </c>
      <c r="D1401" s="147" t="s">
        <v>474</v>
      </c>
      <c r="E1401" s="147" t="s">
        <v>489</v>
      </c>
      <c r="F1401" s="155">
        <f>F1402</f>
        <v>0</v>
      </c>
      <c r="G1401" s="155">
        <f t="shared" si="83"/>
        <v>0</v>
      </c>
      <c r="H1401" s="155"/>
    </row>
    <row r="1402" spans="1:8" ht="24">
      <c r="A1402" s="157" t="s">
        <v>896</v>
      </c>
      <c r="B1402" s="147" t="s">
        <v>438</v>
      </c>
      <c r="C1402" s="147" t="s">
        <v>405</v>
      </c>
      <c r="D1402" s="147" t="s">
        <v>474</v>
      </c>
      <c r="E1402" s="147" t="s">
        <v>574</v>
      </c>
      <c r="F1402" s="158">
        <f>F1403+F1404+F1405</f>
        <v>0</v>
      </c>
      <c r="G1402" s="155">
        <f t="shared" si="83"/>
        <v>0</v>
      </c>
      <c r="H1402" s="158"/>
    </row>
    <row r="1403" spans="1:8" ht="24">
      <c r="A1403" s="157" t="s">
        <v>501</v>
      </c>
      <c r="B1403" s="147" t="s">
        <v>438</v>
      </c>
      <c r="C1403" s="147" t="s">
        <v>405</v>
      </c>
      <c r="D1403" s="147" t="s">
        <v>474</v>
      </c>
      <c r="E1403" s="147" t="s">
        <v>574</v>
      </c>
      <c r="F1403" s="158">
        <f>17565.4-17565.4</f>
        <v>0</v>
      </c>
      <c r="G1403" s="155">
        <f t="shared" si="83"/>
        <v>0</v>
      </c>
      <c r="H1403" s="158"/>
    </row>
    <row r="1404" spans="1:8" ht="48">
      <c r="A1404" s="157" t="s">
        <v>1493</v>
      </c>
      <c r="B1404" s="147" t="s">
        <v>438</v>
      </c>
      <c r="C1404" s="147" t="s">
        <v>405</v>
      </c>
      <c r="D1404" s="147" t="s">
        <v>474</v>
      </c>
      <c r="E1404" s="147" t="s">
        <v>574</v>
      </c>
      <c r="F1404" s="158">
        <f>6000-3894.5-2105.5</f>
        <v>0</v>
      </c>
      <c r="G1404" s="155">
        <f t="shared" si="83"/>
        <v>0</v>
      </c>
      <c r="H1404" s="158"/>
    </row>
    <row r="1405" spans="1:8" ht="36">
      <c r="A1405" s="157" t="s">
        <v>1494</v>
      </c>
      <c r="B1405" s="147" t="s">
        <v>438</v>
      </c>
      <c r="C1405" s="147" t="s">
        <v>405</v>
      </c>
      <c r="D1405" s="147" t="s">
        <v>474</v>
      </c>
      <c r="E1405" s="147" t="s">
        <v>574</v>
      </c>
      <c r="F1405" s="158">
        <f>9000-6629.6-2370.4</f>
        <v>0</v>
      </c>
      <c r="G1405" s="155">
        <f t="shared" si="83"/>
        <v>0</v>
      </c>
      <c r="H1405" s="158"/>
    </row>
    <row r="1406" spans="1:8" ht="22.5">
      <c r="A1406" s="156" t="s">
        <v>482</v>
      </c>
      <c r="B1406" s="147" t="s">
        <v>900</v>
      </c>
      <c r="C1406" s="147" t="s">
        <v>430</v>
      </c>
      <c r="D1406" s="147"/>
      <c r="E1406" s="147"/>
      <c r="F1406" s="167">
        <f>F1407</f>
        <v>44354.9</v>
      </c>
      <c r="G1406" s="167">
        <f t="shared" si="83"/>
        <v>44354.9</v>
      </c>
      <c r="H1406" s="158"/>
    </row>
    <row r="1407" spans="1:8" ht="24">
      <c r="A1407" s="160" t="s">
        <v>277</v>
      </c>
      <c r="B1407" s="147" t="s">
        <v>900</v>
      </c>
      <c r="C1407" s="147" t="s">
        <v>1145</v>
      </c>
      <c r="D1407" s="147" t="s">
        <v>677</v>
      </c>
      <c r="E1407" s="147"/>
      <c r="F1407" s="155">
        <f>F1408+F1410</f>
        <v>44354.9</v>
      </c>
      <c r="G1407" s="155">
        <f t="shared" si="83"/>
        <v>44354.9</v>
      </c>
      <c r="H1407" s="155"/>
    </row>
    <row r="1408" spans="1:8" ht="24">
      <c r="A1408" s="152" t="s">
        <v>484</v>
      </c>
      <c r="B1408" s="147" t="s">
        <v>900</v>
      </c>
      <c r="C1408" s="147" t="s">
        <v>1145</v>
      </c>
      <c r="D1408" s="147" t="s">
        <v>677</v>
      </c>
      <c r="E1408" s="147" t="s">
        <v>1168</v>
      </c>
      <c r="F1408" s="155">
        <f>F1409</f>
        <v>4354.900000000001</v>
      </c>
      <c r="G1408" s="155">
        <f t="shared" si="83"/>
        <v>4354.900000000001</v>
      </c>
      <c r="H1408" s="155"/>
    </row>
    <row r="1409" spans="1:8" ht="15">
      <c r="A1409" s="157" t="s">
        <v>696</v>
      </c>
      <c r="B1409" s="147" t="s">
        <v>900</v>
      </c>
      <c r="C1409" s="147" t="s">
        <v>1145</v>
      </c>
      <c r="D1409" s="147" t="s">
        <v>677</v>
      </c>
      <c r="E1409" s="147" t="s">
        <v>349</v>
      </c>
      <c r="F1409" s="158">
        <f>42620-20000-8195-8840.8-230-491.2-508.1</f>
        <v>4354.900000000001</v>
      </c>
      <c r="G1409" s="155">
        <f t="shared" si="83"/>
        <v>4354.900000000001</v>
      </c>
      <c r="H1409" s="158"/>
    </row>
    <row r="1410" spans="1:8" ht="15">
      <c r="A1410" s="153" t="s">
        <v>985</v>
      </c>
      <c r="B1410" s="147" t="s">
        <v>900</v>
      </c>
      <c r="C1410" s="147" t="s">
        <v>1145</v>
      </c>
      <c r="D1410" s="147" t="s">
        <v>677</v>
      </c>
      <c r="E1410" s="147" t="s">
        <v>986</v>
      </c>
      <c r="F1410" s="155">
        <f>F1411</f>
        <v>40000</v>
      </c>
      <c r="G1410" s="155">
        <f t="shared" si="83"/>
        <v>40000</v>
      </c>
      <c r="H1410" s="155"/>
    </row>
    <row r="1411" spans="1:8" ht="48">
      <c r="A1411" s="157" t="s">
        <v>563</v>
      </c>
      <c r="B1411" s="147" t="s">
        <v>900</v>
      </c>
      <c r="C1411" s="147" t="s">
        <v>1145</v>
      </c>
      <c r="D1411" s="147" t="s">
        <v>677</v>
      </c>
      <c r="E1411" s="147" t="s">
        <v>441</v>
      </c>
      <c r="F1411" s="158">
        <f>157380-47000+20000-90380</f>
        <v>40000</v>
      </c>
      <c r="G1411" s="155">
        <f t="shared" si="83"/>
        <v>40000</v>
      </c>
      <c r="H1411" s="158"/>
    </row>
    <row r="1412" spans="1:8" ht="66">
      <c r="A1412" s="166" t="s">
        <v>1133</v>
      </c>
      <c r="B1412" s="146" t="s">
        <v>175</v>
      </c>
      <c r="C1412" s="146"/>
      <c r="D1412" s="146"/>
      <c r="E1412" s="146"/>
      <c r="F1412" s="167">
        <f>F1413</f>
        <v>333236</v>
      </c>
      <c r="G1412" s="167">
        <f t="shared" si="83"/>
        <v>333236</v>
      </c>
      <c r="H1412" s="158"/>
    </row>
    <row r="1413" spans="1:8" ht="22.5">
      <c r="A1413" s="156" t="s">
        <v>512</v>
      </c>
      <c r="B1413" s="147" t="s">
        <v>175</v>
      </c>
      <c r="C1413" s="147" t="s">
        <v>436</v>
      </c>
      <c r="D1413" s="147"/>
      <c r="E1413" s="147"/>
      <c r="F1413" s="155">
        <f>F1414</f>
        <v>333236</v>
      </c>
      <c r="G1413" s="155">
        <f t="shared" si="83"/>
        <v>333236</v>
      </c>
      <c r="H1413" s="158"/>
    </row>
    <row r="1414" spans="1:8" ht="48">
      <c r="A1414" s="152" t="s">
        <v>683</v>
      </c>
      <c r="B1414" s="147" t="s">
        <v>175</v>
      </c>
      <c r="C1414" s="147" t="s">
        <v>436</v>
      </c>
      <c r="D1414" s="147" t="s">
        <v>678</v>
      </c>
      <c r="E1414" s="147"/>
      <c r="F1414" s="155">
        <f>F1415</f>
        <v>333236</v>
      </c>
      <c r="G1414" s="155">
        <f t="shared" si="83"/>
        <v>333236</v>
      </c>
      <c r="H1414" s="158"/>
    </row>
    <row r="1415" spans="1:8" ht="15">
      <c r="A1415" s="152" t="s">
        <v>487</v>
      </c>
      <c r="B1415" s="147" t="s">
        <v>175</v>
      </c>
      <c r="C1415" s="147" t="s">
        <v>436</v>
      </c>
      <c r="D1415" s="147" t="s">
        <v>678</v>
      </c>
      <c r="E1415" s="147" t="s">
        <v>485</v>
      </c>
      <c r="F1415" s="155">
        <f>F1416</f>
        <v>333236</v>
      </c>
      <c r="G1415" s="155">
        <f t="shared" si="83"/>
        <v>333236</v>
      </c>
      <c r="H1415" s="158"/>
    </row>
    <row r="1416" spans="1:8" ht="15">
      <c r="A1416" s="152" t="s">
        <v>488</v>
      </c>
      <c r="B1416" s="147" t="s">
        <v>175</v>
      </c>
      <c r="C1416" s="147" t="s">
        <v>436</v>
      </c>
      <c r="D1416" s="147" t="s">
        <v>678</v>
      </c>
      <c r="E1416" s="147" t="s">
        <v>486</v>
      </c>
      <c r="F1416" s="158">
        <v>333236</v>
      </c>
      <c r="G1416" s="155">
        <f t="shared" si="83"/>
        <v>333236</v>
      </c>
      <c r="H1416" s="158"/>
    </row>
    <row r="1417" spans="1:9" ht="21" customHeight="1">
      <c r="A1417" s="339" t="s">
        <v>457</v>
      </c>
      <c r="B1417" s="339"/>
      <c r="C1417" s="339"/>
      <c r="D1417" s="339"/>
      <c r="E1417" s="339"/>
      <c r="F1417" s="339"/>
      <c r="G1417" s="339"/>
      <c r="H1417" s="339"/>
      <c r="I1417" s="273">
        <f>F1129+F1138+F1144+F1149+F1154+F1159+F1164+F1169+F1174+F1179+F1182+F1186+F1189+F1192+F1197+F1202+F1208+F1211+F1218+F1223+F1232+F1237+F1246+F1249</f>
        <v>51178.100000000006</v>
      </c>
    </row>
    <row r="1418" spans="1:8" ht="15">
      <c r="A1418" s="43"/>
      <c r="F1418" s="105"/>
      <c r="G1418" s="14"/>
      <c r="H1418" s="14"/>
    </row>
    <row r="1419" spans="7:8" ht="15">
      <c r="G1419" s="14"/>
      <c r="H1419" s="14"/>
    </row>
    <row r="1420" spans="7:8" ht="15">
      <c r="G1420" s="14"/>
      <c r="H1420" s="14"/>
    </row>
    <row r="1421" spans="7:8" ht="23.25" customHeight="1">
      <c r="G1421" s="14"/>
      <c r="H1421" s="14"/>
    </row>
    <row r="1422" spans="7:8" ht="15">
      <c r="G1422" s="14"/>
      <c r="H1422" s="14"/>
    </row>
    <row r="1423" spans="7:8" ht="15">
      <c r="G1423" s="14"/>
      <c r="H1423" s="14"/>
    </row>
    <row r="1424" spans="7:8" ht="15">
      <c r="G1424" s="14"/>
      <c r="H1424" s="14"/>
    </row>
    <row r="1425" spans="7:8" ht="15">
      <c r="G1425" s="14"/>
      <c r="H1425" s="14"/>
    </row>
    <row r="1426" spans="7:8" ht="15">
      <c r="G1426" s="14"/>
      <c r="H1426" s="14"/>
    </row>
    <row r="1427" spans="7:8" ht="15">
      <c r="G1427" s="14"/>
      <c r="H1427" s="14"/>
    </row>
    <row r="1428" spans="7:8" ht="15">
      <c r="G1428" s="14"/>
      <c r="H1428" s="14"/>
    </row>
    <row r="1429" spans="7:8" ht="24" customHeight="1">
      <c r="G1429" s="14"/>
      <c r="H1429" s="14"/>
    </row>
    <row r="1430" spans="7:8" ht="15">
      <c r="G1430" s="14"/>
      <c r="H1430" s="14"/>
    </row>
    <row r="1431" spans="7:8" ht="21" customHeight="1">
      <c r="G1431" s="14"/>
      <c r="H1431" s="14"/>
    </row>
    <row r="1432" spans="7:9" ht="24.75" customHeight="1">
      <c r="G1432" s="14"/>
      <c r="H1432" s="14"/>
      <c r="I1432" s="273">
        <f>F1129+F1138+F1143+F1149+F1154+F1159+F1164+F1169+F1174+F1179+F1182+F1186+F1189+F1192+F1197+F1202+F1208+F1211+F1218+F1223+F1232+F1246+F1249+F1237</f>
        <v>51178.100000000006</v>
      </c>
    </row>
    <row r="1433" spans="7:8" ht="15">
      <c r="G1433" s="14"/>
      <c r="H1433" s="14"/>
    </row>
    <row r="1434" spans="7:8" ht="15">
      <c r="G1434" s="14"/>
      <c r="H1434" s="14"/>
    </row>
    <row r="1435" spans="7:8" ht="15">
      <c r="G1435" s="14"/>
      <c r="H1435" s="14"/>
    </row>
    <row r="1436" spans="7:8" ht="15">
      <c r="G1436" s="14"/>
      <c r="H1436" s="14"/>
    </row>
    <row r="1437" spans="7:8" ht="15">
      <c r="G1437" s="14"/>
      <c r="H1437" s="14"/>
    </row>
    <row r="1438" spans="7:8" ht="15">
      <c r="G1438" s="14"/>
      <c r="H1438" s="14"/>
    </row>
    <row r="1439" spans="7:8" ht="15">
      <c r="G1439" s="14"/>
      <c r="H1439" s="14"/>
    </row>
    <row r="1440" spans="7:8" ht="15">
      <c r="G1440" s="14"/>
      <c r="H1440" s="14"/>
    </row>
    <row r="1441" spans="7:8" ht="15">
      <c r="G1441" s="14"/>
      <c r="H1441" s="14"/>
    </row>
    <row r="1442" spans="7:8" ht="15">
      <c r="G1442" s="14"/>
      <c r="H1442" s="14"/>
    </row>
    <row r="1443" spans="7:8" ht="15">
      <c r="G1443" s="14"/>
      <c r="H1443" s="14"/>
    </row>
    <row r="1444" spans="7:8" ht="15">
      <c r="G1444" s="14"/>
      <c r="H1444" s="14"/>
    </row>
    <row r="1445" spans="7:8" ht="15">
      <c r="G1445" s="14"/>
      <c r="H1445" s="14"/>
    </row>
    <row r="1446" spans="7:8" ht="15">
      <c r="G1446" s="14"/>
      <c r="H1446" s="14"/>
    </row>
    <row r="1447" spans="7:8" ht="15">
      <c r="G1447" s="14"/>
      <c r="H1447" s="14"/>
    </row>
    <row r="1448" spans="7:8" ht="15">
      <c r="G1448" s="14"/>
      <c r="H1448" s="14"/>
    </row>
    <row r="1449" spans="7:8" ht="15">
      <c r="G1449" s="14"/>
      <c r="H1449" s="14"/>
    </row>
    <row r="1450" spans="7:8" ht="15">
      <c r="G1450" s="14"/>
      <c r="H1450" s="14"/>
    </row>
    <row r="1451" spans="7:8" ht="15">
      <c r="G1451" s="14"/>
      <c r="H1451" s="14"/>
    </row>
    <row r="1452" spans="7:8" ht="15">
      <c r="G1452" s="14"/>
      <c r="H1452" s="14"/>
    </row>
    <row r="1453" spans="7:8" ht="15">
      <c r="G1453" s="14"/>
      <c r="H1453" s="14"/>
    </row>
    <row r="1454" spans="7:8" ht="15">
      <c r="G1454" s="14"/>
      <c r="H1454" s="14"/>
    </row>
    <row r="1455" spans="7:8" ht="15">
      <c r="G1455" s="14"/>
      <c r="H1455" s="14"/>
    </row>
    <row r="1456" spans="7:8" ht="15">
      <c r="G1456" s="14"/>
      <c r="H1456" s="14"/>
    </row>
    <row r="1457" spans="7:8" ht="15">
      <c r="G1457" s="14"/>
      <c r="H1457" s="14"/>
    </row>
    <row r="1458" spans="7:8" ht="15">
      <c r="G1458" s="14"/>
      <c r="H1458" s="14"/>
    </row>
    <row r="1459" spans="7:8" ht="15">
      <c r="G1459" s="14"/>
      <c r="H1459" s="14"/>
    </row>
    <row r="1460" spans="7:8" ht="15">
      <c r="G1460" s="14"/>
      <c r="H1460" s="14"/>
    </row>
    <row r="1461" spans="7:8" ht="15">
      <c r="G1461" s="14"/>
      <c r="H1461" s="14"/>
    </row>
    <row r="1462" spans="7:8" ht="15">
      <c r="G1462" s="14"/>
      <c r="H1462" s="14"/>
    </row>
    <row r="1463" spans="7:8" ht="15">
      <c r="G1463" s="14"/>
      <c r="H1463" s="14"/>
    </row>
    <row r="1464" spans="7:8" ht="15">
      <c r="G1464" s="14"/>
      <c r="H1464" s="14"/>
    </row>
    <row r="1465" spans="7:8" ht="15">
      <c r="G1465" s="14"/>
      <c r="H1465" s="14"/>
    </row>
    <row r="1466" spans="7:8" ht="15">
      <c r="G1466" s="14"/>
      <c r="H1466" s="14"/>
    </row>
    <row r="1467" spans="7:8" ht="15">
      <c r="G1467" s="14"/>
      <c r="H1467" s="14"/>
    </row>
    <row r="1468" spans="7:8" ht="15">
      <c r="G1468" s="14"/>
      <c r="H1468" s="14"/>
    </row>
    <row r="1469" spans="7:8" ht="15">
      <c r="G1469" s="14"/>
      <c r="H1469" s="14"/>
    </row>
    <row r="1470" spans="7:8" ht="15">
      <c r="G1470" s="14"/>
      <c r="H1470" s="14"/>
    </row>
    <row r="1471" spans="7:8" ht="39.75" customHeight="1">
      <c r="G1471" s="14"/>
      <c r="H1471" s="14"/>
    </row>
    <row r="1472" spans="7:8" ht="15">
      <c r="G1472" s="14"/>
      <c r="H1472" s="14"/>
    </row>
    <row r="1473" spans="7:8" ht="15">
      <c r="G1473" s="14"/>
      <c r="H1473" s="14"/>
    </row>
    <row r="1474" spans="7:8" ht="15">
      <c r="G1474" s="14"/>
      <c r="H1474" s="14"/>
    </row>
    <row r="1475" spans="7:8" ht="15">
      <c r="G1475" s="14"/>
      <c r="H1475" s="14"/>
    </row>
    <row r="1476" spans="7:8" ht="15">
      <c r="G1476" s="14"/>
      <c r="H1476" s="14"/>
    </row>
    <row r="1477" spans="7:8" ht="15">
      <c r="G1477" s="14"/>
      <c r="H1477" s="14"/>
    </row>
    <row r="1478" spans="7:8" ht="15">
      <c r="G1478" s="14"/>
      <c r="H1478" s="14"/>
    </row>
    <row r="1479" spans="7:8" ht="15">
      <c r="G1479" s="14"/>
      <c r="H1479" s="14"/>
    </row>
    <row r="1480" spans="7:8" ht="15">
      <c r="G1480" s="14"/>
      <c r="H1480" s="14"/>
    </row>
    <row r="1481" spans="7:8" ht="15">
      <c r="G1481" s="14"/>
      <c r="H1481" s="14"/>
    </row>
    <row r="1482" spans="7:8" ht="15">
      <c r="G1482" s="14"/>
      <c r="H1482" s="14"/>
    </row>
    <row r="1483" spans="7:8" ht="15">
      <c r="G1483" s="14"/>
      <c r="H1483" s="14"/>
    </row>
    <row r="1484" spans="7:8" ht="15">
      <c r="G1484" s="14"/>
      <c r="H1484" s="14"/>
    </row>
    <row r="1485" spans="7:8" ht="15">
      <c r="G1485" s="14"/>
      <c r="H1485" s="14"/>
    </row>
    <row r="1486" spans="7:8" ht="15">
      <c r="G1486" s="14"/>
      <c r="H1486" s="14"/>
    </row>
    <row r="1487" spans="7:8" ht="15">
      <c r="G1487" s="14"/>
      <c r="H1487" s="14"/>
    </row>
    <row r="1488" spans="7:8" ht="15">
      <c r="G1488" s="14"/>
      <c r="H1488" s="14"/>
    </row>
    <row r="1489" spans="7:8" ht="15">
      <c r="G1489" s="14"/>
      <c r="H1489" s="14"/>
    </row>
    <row r="1490" spans="7:8" ht="15">
      <c r="G1490" s="14"/>
      <c r="H1490" s="14"/>
    </row>
    <row r="1491" spans="7:8" ht="15">
      <c r="G1491" s="14"/>
      <c r="H1491" s="14"/>
    </row>
    <row r="1492" spans="7:8" ht="15">
      <c r="G1492" s="14"/>
      <c r="H1492" s="14"/>
    </row>
    <row r="1493" spans="7:8" ht="15">
      <c r="G1493" s="14"/>
      <c r="H1493" s="14"/>
    </row>
    <row r="1494" spans="7:8" ht="15">
      <c r="G1494" s="14"/>
      <c r="H1494" s="14"/>
    </row>
    <row r="1495" spans="7:8" ht="15">
      <c r="G1495" s="14"/>
      <c r="H1495" s="14"/>
    </row>
    <row r="1496" spans="7:8" ht="15">
      <c r="G1496" s="14"/>
      <c r="H1496" s="14"/>
    </row>
    <row r="1497" spans="7:8" ht="15">
      <c r="G1497" s="14"/>
      <c r="H1497" s="14"/>
    </row>
    <row r="1498" spans="7:8" ht="15">
      <c r="G1498" s="14"/>
      <c r="H1498" s="14"/>
    </row>
    <row r="1499" spans="7:8" ht="15">
      <c r="G1499" s="14"/>
      <c r="H1499" s="14"/>
    </row>
    <row r="1500" spans="7:8" ht="15">
      <c r="G1500" s="14"/>
      <c r="H1500" s="14"/>
    </row>
    <row r="1501" spans="7:8" ht="15">
      <c r="G1501" s="14"/>
      <c r="H1501" s="14"/>
    </row>
    <row r="1502" spans="7:8" ht="15">
      <c r="G1502" s="14"/>
      <c r="H1502" s="14"/>
    </row>
    <row r="1503" spans="7:8" ht="15">
      <c r="G1503" s="14"/>
      <c r="H1503" s="14"/>
    </row>
    <row r="1504" spans="7:8" ht="15">
      <c r="G1504" s="14"/>
      <c r="H1504" s="14"/>
    </row>
    <row r="1505" spans="7:8" ht="15">
      <c r="G1505" s="14"/>
      <c r="H1505" s="14"/>
    </row>
    <row r="1506" spans="7:8" ht="15">
      <c r="G1506" s="14"/>
      <c r="H1506" s="14"/>
    </row>
    <row r="1507" spans="7:8" ht="15">
      <c r="G1507" s="14"/>
      <c r="H1507" s="14"/>
    </row>
    <row r="1508" spans="7:8" ht="15">
      <c r="G1508" s="14"/>
      <c r="H1508" s="14"/>
    </row>
    <row r="1509" spans="7:8" ht="15">
      <c r="G1509" s="14"/>
      <c r="H1509" s="14"/>
    </row>
    <row r="1510" spans="7:8" ht="15">
      <c r="G1510" s="14"/>
      <c r="H1510" s="14"/>
    </row>
    <row r="1511" spans="7:8" ht="15">
      <c r="G1511" s="14"/>
      <c r="H1511" s="14"/>
    </row>
    <row r="1512" spans="7:8" ht="15">
      <c r="G1512" s="14"/>
      <c r="H1512" s="14"/>
    </row>
    <row r="1513" spans="7:8" ht="15">
      <c r="G1513" s="14"/>
      <c r="H1513" s="14"/>
    </row>
    <row r="1514" spans="7:8" ht="15">
      <c r="G1514" s="14"/>
      <c r="H1514" s="14"/>
    </row>
    <row r="1515" spans="7:8" ht="15">
      <c r="G1515" s="14"/>
      <c r="H1515" s="14"/>
    </row>
    <row r="1516" spans="7:8" ht="15">
      <c r="G1516" s="14"/>
      <c r="H1516" s="14"/>
    </row>
    <row r="1517" spans="7:8" ht="15">
      <c r="G1517" s="14"/>
      <c r="H1517" s="14"/>
    </row>
    <row r="1518" spans="7:8" ht="15">
      <c r="G1518" s="14"/>
      <c r="H1518" s="14"/>
    </row>
    <row r="1519" spans="7:8" ht="15">
      <c r="G1519" s="14"/>
      <c r="H1519" s="14"/>
    </row>
    <row r="1520" spans="7:8" ht="15">
      <c r="G1520" s="14"/>
      <c r="H1520" s="14"/>
    </row>
    <row r="1521" spans="7:8" ht="15">
      <c r="G1521" s="14"/>
      <c r="H1521" s="14"/>
    </row>
    <row r="1522" spans="7:8" ht="15">
      <c r="G1522" s="14"/>
      <c r="H1522" s="14"/>
    </row>
    <row r="1523" spans="7:8" ht="15">
      <c r="G1523" s="14"/>
      <c r="H1523" s="14"/>
    </row>
    <row r="1524" spans="7:8" ht="15">
      <c r="G1524" s="14"/>
      <c r="H1524" s="14"/>
    </row>
    <row r="1525" spans="7:8" ht="15">
      <c r="G1525" s="14"/>
      <c r="H1525" s="14"/>
    </row>
    <row r="1526" spans="7:8" ht="15">
      <c r="G1526" s="14"/>
      <c r="H1526" s="14"/>
    </row>
    <row r="1527" spans="7:8" ht="15">
      <c r="G1527" s="14"/>
      <c r="H1527" s="14"/>
    </row>
    <row r="1528" spans="7:8" ht="15">
      <c r="G1528" s="14"/>
      <c r="H1528" s="14"/>
    </row>
    <row r="1529" spans="7:8" ht="15">
      <c r="G1529" s="14"/>
      <c r="H1529" s="14"/>
    </row>
    <row r="1530" spans="7:8" ht="15">
      <c r="G1530" s="14"/>
      <c r="H1530" s="14"/>
    </row>
    <row r="1531" spans="7:8" ht="15">
      <c r="G1531" s="14"/>
      <c r="H1531" s="14"/>
    </row>
    <row r="1532" spans="7:8" ht="15">
      <c r="G1532" s="14"/>
      <c r="H1532" s="14"/>
    </row>
    <row r="1533" spans="7:8" ht="15">
      <c r="G1533" s="14"/>
      <c r="H1533" s="14"/>
    </row>
    <row r="1534" spans="7:8" ht="15">
      <c r="G1534" s="14"/>
      <c r="H1534" s="14"/>
    </row>
    <row r="1535" spans="7:8" ht="15">
      <c r="G1535" s="14"/>
      <c r="H1535" s="14"/>
    </row>
    <row r="1536" spans="7:8" ht="15">
      <c r="G1536" s="14"/>
      <c r="H1536" s="14"/>
    </row>
    <row r="1537" spans="7:8" ht="15">
      <c r="G1537" s="14"/>
      <c r="H1537" s="14"/>
    </row>
    <row r="1538" spans="7:8" ht="15">
      <c r="G1538" s="14"/>
      <c r="H1538" s="14"/>
    </row>
    <row r="1539" spans="7:8" ht="15">
      <c r="G1539" s="14"/>
      <c r="H1539" s="14"/>
    </row>
    <row r="1540" spans="7:8" ht="15">
      <c r="G1540" s="14"/>
      <c r="H1540" s="14"/>
    </row>
    <row r="1541" spans="7:8" ht="15">
      <c r="G1541" s="14"/>
      <c r="H1541" s="14"/>
    </row>
    <row r="1542" spans="7:8" ht="15">
      <c r="G1542" s="14"/>
      <c r="H1542" s="14"/>
    </row>
    <row r="1543" spans="7:8" ht="15">
      <c r="G1543" s="14"/>
      <c r="H1543" s="14"/>
    </row>
    <row r="1544" spans="7:8" ht="15">
      <c r="G1544" s="14"/>
      <c r="H1544" s="14"/>
    </row>
    <row r="1545" spans="7:8" ht="15">
      <c r="G1545" s="14"/>
      <c r="H1545" s="14"/>
    </row>
    <row r="1546" spans="7:8" ht="15">
      <c r="G1546" s="14"/>
      <c r="H1546" s="14"/>
    </row>
    <row r="1547" spans="7:8" ht="15">
      <c r="G1547" s="14"/>
      <c r="H1547" s="14"/>
    </row>
    <row r="1548" spans="7:8" ht="15">
      <c r="G1548" s="14"/>
      <c r="H1548" s="14"/>
    </row>
    <row r="1549" spans="7:8" ht="15">
      <c r="G1549" s="14"/>
      <c r="H1549" s="14"/>
    </row>
    <row r="1550" spans="7:8" ht="15">
      <c r="G1550" s="14"/>
      <c r="H1550" s="14"/>
    </row>
    <row r="1551" spans="7:8" ht="15">
      <c r="G1551" s="14"/>
      <c r="H1551" s="14"/>
    </row>
    <row r="1552" spans="7:8" ht="15">
      <c r="G1552" s="14"/>
      <c r="H1552" s="14"/>
    </row>
    <row r="1553" spans="7:8" ht="15">
      <c r="G1553" s="14"/>
      <c r="H1553" s="14"/>
    </row>
    <row r="1554" spans="7:8" ht="15">
      <c r="G1554" s="14"/>
      <c r="H1554" s="14"/>
    </row>
    <row r="1555" spans="7:8" ht="15">
      <c r="G1555" s="14"/>
      <c r="H1555" s="14"/>
    </row>
    <row r="1556" spans="7:8" ht="15">
      <c r="G1556" s="14"/>
      <c r="H1556" s="14"/>
    </row>
    <row r="1557" spans="7:8" ht="15">
      <c r="G1557" s="14"/>
      <c r="H1557" s="14"/>
    </row>
    <row r="1558" spans="7:8" ht="82.5" customHeight="1">
      <c r="G1558" s="14"/>
      <c r="H1558" s="14"/>
    </row>
    <row r="1559" spans="7:8" ht="15">
      <c r="G1559" s="14"/>
      <c r="H1559" s="14"/>
    </row>
    <row r="1560" spans="7:8" ht="15">
      <c r="G1560" s="14"/>
      <c r="H1560" s="14"/>
    </row>
    <row r="1561" spans="7:8" ht="15">
      <c r="G1561" s="14"/>
      <c r="H1561" s="14"/>
    </row>
    <row r="1562" spans="7:8" ht="44.25" customHeight="1">
      <c r="G1562" s="14"/>
      <c r="H1562" s="14"/>
    </row>
    <row r="1563" spans="7:8" ht="15">
      <c r="G1563" s="14"/>
      <c r="H1563" s="14"/>
    </row>
    <row r="1564" spans="7:8" ht="15">
      <c r="G1564" s="14"/>
      <c r="H1564" s="14"/>
    </row>
    <row r="1565" spans="7:8" ht="15">
      <c r="G1565" s="14"/>
      <c r="H1565" s="14"/>
    </row>
    <row r="1566" spans="7:8" ht="15">
      <c r="G1566" s="14"/>
      <c r="H1566" s="14"/>
    </row>
    <row r="1567" spans="7:8" ht="15">
      <c r="G1567" s="14"/>
      <c r="H1567" s="14"/>
    </row>
    <row r="1568" spans="7:8" ht="15">
      <c r="G1568" s="14"/>
      <c r="H1568" s="14"/>
    </row>
    <row r="1569" spans="7:8" ht="15">
      <c r="G1569" s="14"/>
      <c r="H1569" s="14"/>
    </row>
    <row r="1570" spans="7:8" ht="15">
      <c r="G1570" s="14"/>
      <c r="H1570" s="14"/>
    </row>
    <row r="1571" spans="7:8" ht="15">
      <c r="G1571" s="14"/>
      <c r="H1571" s="14"/>
    </row>
    <row r="1572" spans="1:10" s="24" customFormat="1" ht="15">
      <c r="A1572" s="6"/>
      <c r="B1572" s="7"/>
      <c r="C1572" s="7"/>
      <c r="D1572" s="7"/>
      <c r="E1572" s="7"/>
      <c r="F1572" s="8"/>
      <c r="G1572" s="14"/>
      <c r="H1572" s="14"/>
      <c r="J1572" s="286"/>
    </row>
    <row r="1573" spans="1:10" s="24" customFormat="1" ht="15">
      <c r="A1573" s="6"/>
      <c r="B1573" s="7"/>
      <c r="C1573" s="7"/>
      <c r="D1573" s="7"/>
      <c r="E1573" s="7"/>
      <c r="F1573" s="8"/>
      <c r="G1573" s="14"/>
      <c r="H1573" s="14"/>
      <c r="J1573" s="286"/>
    </row>
    <row r="1574" spans="1:10" s="24" customFormat="1" ht="15">
      <c r="A1574" s="6"/>
      <c r="B1574" s="7"/>
      <c r="C1574" s="7"/>
      <c r="D1574" s="7"/>
      <c r="E1574" s="7"/>
      <c r="F1574" s="8"/>
      <c r="G1574" s="14"/>
      <c r="H1574" s="14"/>
      <c r="J1574" s="286"/>
    </row>
    <row r="1575" spans="1:10" s="24" customFormat="1" ht="15">
      <c r="A1575" s="6"/>
      <c r="B1575" s="7"/>
      <c r="C1575" s="7"/>
      <c r="D1575" s="7"/>
      <c r="E1575" s="7"/>
      <c r="F1575" s="8"/>
      <c r="G1575" s="14"/>
      <c r="H1575" s="14"/>
      <c r="J1575" s="286"/>
    </row>
    <row r="1576" spans="1:10" s="24" customFormat="1" ht="15">
      <c r="A1576" s="6"/>
      <c r="B1576" s="7"/>
      <c r="C1576" s="7"/>
      <c r="D1576" s="7"/>
      <c r="E1576" s="7"/>
      <c r="F1576" s="8"/>
      <c r="G1576" s="14"/>
      <c r="H1576" s="14"/>
      <c r="J1576" s="286"/>
    </row>
    <row r="1577" spans="1:10" s="24" customFormat="1" ht="15">
      <c r="A1577" s="6"/>
      <c r="B1577" s="7"/>
      <c r="C1577" s="7"/>
      <c r="D1577" s="7"/>
      <c r="E1577" s="7"/>
      <c r="F1577" s="8"/>
      <c r="G1577" s="14"/>
      <c r="H1577" s="14"/>
      <c r="J1577" s="286"/>
    </row>
    <row r="1578" spans="1:10" s="24" customFormat="1" ht="15">
      <c r="A1578" s="6"/>
      <c r="B1578" s="7"/>
      <c r="C1578" s="7"/>
      <c r="D1578" s="7"/>
      <c r="E1578" s="7"/>
      <c r="F1578" s="8"/>
      <c r="G1578" s="14"/>
      <c r="H1578" s="14"/>
      <c r="J1578" s="286"/>
    </row>
    <row r="1579" spans="1:10" s="24" customFormat="1" ht="15">
      <c r="A1579" s="6"/>
      <c r="B1579" s="7"/>
      <c r="C1579" s="7"/>
      <c r="D1579" s="7"/>
      <c r="E1579" s="7"/>
      <c r="F1579" s="8"/>
      <c r="G1579" s="14"/>
      <c r="H1579" s="14"/>
      <c r="J1579" s="286"/>
    </row>
    <row r="1580" spans="7:8" ht="15">
      <c r="G1580" s="14"/>
      <c r="H1580" s="14"/>
    </row>
    <row r="1581" spans="7:8" ht="15">
      <c r="G1581" s="14"/>
      <c r="H1581" s="14"/>
    </row>
    <row r="1582" spans="7:8" ht="15">
      <c r="G1582" s="14"/>
      <c r="H1582" s="14"/>
    </row>
    <row r="1583" spans="7:8" ht="15">
      <c r="G1583" s="14"/>
      <c r="H1583" s="14"/>
    </row>
    <row r="1584" spans="7:8" ht="15">
      <c r="G1584" s="14"/>
      <c r="H1584" s="14"/>
    </row>
    <row r="1585" spans="7:8" ht="15">
      <c r="G1585" s="14"/>
      <c r="H1585" s="14"/>
    </row>
    <row r="1586" spans="7:8" ht="15">
      <c r="G1586" s="14"/>
      <c r="H1586" s="14"/>
    </row>
    <row r="1596" ht="117" customHeight="1"/>
    <row r="1597" ht="38.25" customHeight="1"/>
    <row r="1603" ht="36.75" customHeight="1"/>
    <row r="1606" ht="44.25" customHeight="1"/>
    <row r="1607" ht="29.25" customHeight="1"/>
    <row r="1610" ht="36" customHeight="1"/>
    <row r="1617" ht="28.5" customHeight="1"/>
    <row r="1630" ht="95.25" customHeight="1"/>
    <row r="1631" ht="37.5" customHeight="1"/>
    <row r="1632" ht="33.75" customHeight="1"/>
    <row r="1633" ht="25.5" customHeight="1"/>
    <row r="1634" ht="50.25" customHeight="1"/>
    <row r="1635" ht="29.25" customHeight="1"/>
    <row r="1636" ht="37.5" customHeight="1"/>
    <row r="1637" ht="25.5" customHeight="1"/>
    <row r="1638" ht="37.5" customHeight="1"/>
    <row r="1639" ht="37.5" customHeight="1"/>
    <row r="1640" ht="39" customHeight="1"/>
    <row r="1641" ht="24" customHeight="1"/>
    <row r="1642" ht="76.5" customHeight="1"/>
    <row r="1644" ht="13.5" customHeight="1"/>
    <row r="1653" ht="15" customHeight="1"/>
    <row r="1657" ht="26.25" customHeight="1"/>
    <row r="1664" ht="13.5" customHeight="1"/>
    <row r="1665" ht="13.5" customHeight="1"/>
    <row r="1672" ht="28.5" customHeight="1">
      <c r="I1672" s="273">
        <f>F1129+F1138+F1143+F1149+F1154+F1159+F1164+F1169+F1174+F1179+F1182+F1186+F1189+F1192+F1197+F1202+F1208+F1218+F1223+F1232+F1246+F1249</f>
        <v>51050.100000000006</v>
      </c>
    </row>
  </sheetData>
  <sheetProtection selectLockedCells="1" selectUnlockedCells="1"/>
  <mergeCells count="9">
    <mergeCell ref="A1417:H1417"/>
    <mergeCell ref="A13:H13"/>
    <mergeCell ref="A14:H14"/>
    <mergeCell ref="A15:H15"/>
    <mergeCell ref="A16:H16"/>
    <mergeCell ref="A19:A20"/>
    <mergeCell ref="B19:E19"/>
    <mergeCell ref="F19:F20"/>
    <mergeCell ref="G19:H19"/>
  </mergeCells>
  <printOptions/>
  <pageMargins left="0.7480314960629921" right="0.7480314960629921" top="0.6692913385826772" bottom="0.5118110236220472" header="0.5118110236220472" footer="0.5118110236220472"/>
  <pageSetup firstPageNumber="6" useFirstPageNumber="1" fitToHeight="48" fitToWidth="1" horizontalDpi="600" verticalDpi="600" orientation="portrait" paperSize="9" scale="77"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791"/>
  <sheetViews>
    <sheetView view="pageBreakPreview" zoomScaleSheetLayoutView="100" zoomScalePageLayoutView="0" workbookViewId="0" topLeftCell="A1">
      <selection activeCell="D3" sqref="D3"/>
    </sheetView>
  </sheetViews>
  <sheetFormatPr defaultColWidth="9.50390625" defaultRowHeight="12.75"/>
  <cols>
    <col min="1" max="1" width="54.625" style="6" customWidth="1"/>
    <col min="2" max="2" width="4.50390625" style="7" customWidth="1"/>
    <col min="3" max="4" width="3.50390625" style="7" customWidth="1"/>
    <col min="5" max="5" width="11.125" style="7" customWidth="1"/>
    <col min="6" max="6" width="4.50390625" style="103" customWidth="1"/>
    <col min="7" max="7" width="15.00390625" style="8" customWidth="1"/>
    <col min="8" max="8" width="13.875" style="10" hidden="1" customWidth="1"/>
    <col min="9" max="9" width="18.50390625" style="10" hidden="1" customWidth="1"/>
    <col min="10" max="10" width="13.00390625" style="63" customWidth="1"/>
    <col min="11" max="11" width="14.50390625" style="63" customWidth="1"/>
    <col min="12" max="12" width="14.875" style="30" customWidth="1"/>
    <col min="13" max="15" width="9.50390625" style="30" customWidth="1"/>
    <col min="16" max="16" width="7.50390625" style="30" customWidth="1"/>
    <col min="17" max="17" width="12.50390625" style="30" customWidth="1"/>
    <col min="18" max="18" width="13.50390625" style="10" customWidth="1"/>
    <col min="19" max="19" width="7.50390625" style="10" customWidth="1"/>
    <col min="20" max="20" width="15.50390625" style="10" customWidth="1"/>
    <col min="21" max="21" width="7.00390625" style="10" customWidth="1"/>
    <col min="22" max="22" width="18.00390625" style="10" customWidth="1"/>
    <col min="23" max="16384" width="9.50390625" style="10" customWidth="1"/>
  </cols>
  <sheetData>
    <row r="1" ht="15">
      <c r="D1" s="81" t="s">
        <v>81</v>
      </c>
    </row>
    <row r="2" ht="15">
      <c r="D2" s="9" t="s">
        <v>31</v>
      </c>
    </row>
    <row r="3" ht="15">
      <c r="D3" s="41" t="s">
        <v>1817</v>
      </c>
    </row>
    <row r="4" ht="15"/>
    <row r="5" spans="4:7" ht="15">
      <c r="D5" s="81" t="s">
        <v>792</v>
      </c>
      <c r="G5" s="10"/>
    </row>
    <row r="6" spans="4:6" ht="15">
      <c r="D6" s="9" t="s">
        <v>31</v>
      </c>
      <c r="E6" s="9"/>
      <c r="F6" s="9"/>
    </row>
    <row r="7" spans="4:6" ht="15">
      <c r="D7" s="41" t="s">
        <v>1518</v>
      </c>
      <c r="E7" s="41"/>
      <c r="F7" s="41"/>
    </row>
    <row r="8" spans="4:6" ht="15">
      <c r="D8" s="9"/>
      <c r="E8" s="9"/>
      <c r="F8" s="9"/>
    </row>
    <row r="9" spans="3:7" ht="17.25" customHeight="1">
      <c r="C9" s="81"/>
      <c r="D9" s="41"/>
      <c r="E9" s="81"/>
      <c r="F9" s="81"/>
      <c r="G9" s="81"/>
    </row>
    <row r="10" spans="3:7" ht="13.5" customHeight="1">
      <c r="C10" s="81"/>
      <c r="D10" s="42"/>
      <c r="E10" s="81"/>
      <c r="F10" s="81"/>
      <c r="G10" s="81"/>
    </row>
    <row r="11" spans="1:7" ht="15.75" customHeight="1">
      <c r="A11" s="106"/>
      <c r="B11" s="106"/>
      <c r="C11" s="106"/>
      <c r="D11" s="62"/>
      <c r="E11" s="106"/>
      <c r="F11" s="106"/>
      <c r="G11" s="106"/>
    </row>
    <row r="12" spans="1:7" ht="15.75" customHeight="1">
      <c r="A12" s="341" t="s">
        <v>88</v>
      </c>
      <c r="B12" s="341"/>
      <c r="C12" s="341"/>
      <c r="D12" s="341"/>
      <c r="E12" s="341"/>
      <c r="F12" s="341"/>
      <c r="G12" s="341"/>
    </row>
    <row r="13" spans="1:7" ht="15.75">
      <c r="A13" s="352" t="s">
        <v>1346</v>
      </c>
      <c r="B13" s="352"/>
      <c r="C13" s="352"/>
      <c r="D13" s="352"/>
      <c r="E13" s="352"/>
      <c r="F13" s="352"/>
      <c r="G13" s="352"/>
    </row>
    <row r="14" spans="1:7" ht="15" customHeight="1" thickBot="1">
      <c r="A14" s="10"/>
      <c r="B14" s="17"/>
      <c r="C14" s="11"/>
      <c r="D14" s="11"/>
      <c r="E14" s="11"/>
      <c r="F14" s="287"/>
      <c r="G14" s="200" t="s">
        <v>32</v>
      </c>
    </row>
    <row r="15" spans="1:17" s="13" customFormat="1" ht="42.75" customHeight="1" thickBot="1">
      <c r="A15" s="201" t="s">
        <v>421</v>
      </c>
      <c r="B15" s="202" t="s">
        <v>89</v>
      </c>
      <c r="C15" s="202" t="s">
        <v>1141</v>
      </c>
      <c r="D15" s="202" t="s">
        <v>1142</v>
      </c>
      <c r="E15" s="202" t="s">
        <v>1143</v>
      </c>
      <c r="F15" s="288" t="s">
        <v>1144</v>
      </c>
      <c r="G15" s="203" t="s">
        <v>661</v>
      </c>
      <c r="J15" s="116"/>
      <c r="K15" s="116"/>
      <c r="L15" s="31"/>
      <c r="M15" s="31"/>
      <c r="N15" s="31"/>
      <c r="O15" s="31"/>
      <c r="P15" s="31"/>
      <c r="Q15" s="31"/>
    </row>
    <row r="16" spans="1:18" ht="15.75">
      <c r="A16" s="204" t="s">
        <v>176</v>
      </c>
      <c r="B16" s="205"/>
      <c r="C16" s="205"/>
      <c r="D16" s="205"/>
      <c r="E16" s="205"/>
      <c r="F16" s="289"/>
      <c r="G16" s="206">
        <f>G17+G273+G513+G1431+G1447+G1456</f>
        <v>7805867.600000001</v>
      </c>
      <c r="H16" s="18">
        <v>3464482</v>
      </c>
      <c r="I16" s="23">
        <f>H16-G16</f>
        <v>-4341385.600000001</v>
      </c>
      <c r="J16" s="273">
        <v>7542322.1</v>
      </c>
      <c r="K16" s="32">
        <f>G16-J16</f>
        <v>263545.50000000093</v>
      </c>
      <c r="L16" s="32"/>
      <c r="Q16" s="32"/>
      <c r="R16" s="23"/>
    </row>
    <row r="17" spans="1:8" ht="15.75">
      <c r="A17" s="207" t="s">
        <v>494</v>
      </c>
      <c r="B17" s="208" t="s">
        <v>372</v>
      </c>
      <c r="C17" s="208"/>
      <c r="D17" s="208"/>
      <c r="E17" s="208"/>
      <c r="F17" s="208"/>
      <c r="G17" s="209">
        <f>G18+G263</f>
        <v>3328104.9</v>
      </c>
      <c r="H17" s="61"/>
    </row>
    <row r="18" spans="1:7" ht="15.75">
      <c r="A18" s="166" t="s">
        <v>937</v>
      </c>
      <c r="B18" s="210" t="s">
        <v>372</v>
      </c>
      <c r="C18" s="168" t="s">
        <v>434</v>
      </c>
      <c r="D18" s="177"/>
      <c r="E18" s="177"/>
      <c r="F18" s="290"/>
      <c r="G18" s="1">
        <f>G19+G57+G173+G209+G218+G236</f>
        <v>3260755.9</v>
      </c>
    </row>
    <row r="19" spans="1:7" ht="15">
      <c r="A19" s="156" t="s">
        <v>938</v>
      </c>
      <c r="B19" s="210" t="s">
        <v>372</v>
      </c>
      <c r="C19" s="147" t="s">
        <v>434</v>
      </c>
      <c r="D19" s="147" t="s">
        <v>1145</v>
      </c>
      <c r="E19" s="178"/>
      <c r="F19" s="178"/>
      <c r="G19" s="155">
        <f>G20</f>
        <v>1149377.3</v>
      </c>
    </row>
    <row r="20" spans="1:7" ht="28.5" customHeight="1">
      <c r="A20" s="164" t="s">
        <v>1416</v>
      </c>
      <c r="B20" s="210" t="s">
        <v>372</v>
      </c>
      <c r="C20" s="147" t="s">
        <v>434</v>
      </c>
      <c r="D20" s="147" t="s">
        <v>1145</v>
      </c>
      <c r="E20" s="147" t="s">
        <v>11</v>
      </c>
      <c r="F20" s="178"/>
      <c r="G20" s="155">
        <f>G21</f>
        <v>1149377.3</v>
      </c>
    </row>
    <row r="21" spans="1:7" ht="24">
      <c r="A21" s="157" t="s">
        <v>1749</v>
      </c>
      <c r="B21" s="210" t="s">
        <v>372</v>
      </c>
      <c r="C21" s="147" t="s">
        <v>434</v>
      </c>
      <c r="D21" s="147" t="s">
        <v>1145</v>
      </c>
      <c r="E21" s="147" t="s">
        <v>8</v>
      </c>
      <c r="F21" s="147"/>
      <c r="G21" s="155">
        <f>G22+G33+G48</f>
        <v>1149377.3</v>
      </c>
    </row>
    <row r="22" spans="1:7" ht="36">
      <c r="A22" s="157" t="s">
        <v>1419</v>
      </c>
      <c r="B22" s="210" t="s">
        <v>372</v>
      </c>
      <c r="C22" s="147" t="s">
        <v>434</v>
      </c>
      <c r="D22" s="147" t="s">
        <v>1145</v>
      </c>
      <c r="E22" s="147" t="s">
        <v>14</v>
      </c>
      <c r="F22" s="147"/>
      <c r="G22" s="155">
        <f>G23+G27</f>
        <v>68650</v>
      </c>
    </row>
    <row r="23" spans="1:7" ht="48">
      <c r="A23" s="157" t="s">
        <v>1670</v>
      </c>
      <c r="B23" s="210" t="s">
        <v>372</v>
      </c>
      <c r="C23" s="147" t="s">
        <v>434</v>
      </c>
      <c r="D23" s="147" t="s">
        <v>1145</v>
      </c>
      <c r="E23" s="147" t="s">
        <v>1671</v>
      </c>
      <c r="F23" s="147"/>
      <c r="G23" s="155">
        <f>G24</f>
        <v>52000</v>
      </c>
    </row>
    <row r="24" spans="1:7" ht="24">
      <c r="A24" s="152" t="s">
        <v>490</v>
      </c>
      <c r="B24" s="210" t="s">
        <v>372</v>
      </c>
      <c r="C24" s="147" t="s">
        <v>434</v>
      </c>
      <c r="D24" s="147" t="s">
        <v>1145</v>
      </c>
      <c r="E24" s="147" t="s">
        <v>1671</v>
      </c>
      <c r="F24" s="147" t="s">
        <v>489</v>
      </c>
      <c r="G24" s="155">
        <f>G25</f>
        <v>52000</v>
      </c>
    </row>
    <row r="25" spans="1:7" ht="24">
      <c r="A25" s="157" t="s">
        <v>561</v>
      </c>
      <c r="B25" s="210" t="s">
        <v>372</v>
      </c>
      <c r="C25" s="147" t="s">
        <v>434</v>
      </c>
      <c r="D25" s="147" t="s">
        <v>1145</v>
      </c>
      <c r="E25" s="147" t="s">
        <v>1671</v>
      </c>
      <c r="F25" s="147" t="s">
        <v>1126</v>
      </c>
      <c r="G25" s="155">
        <f>G26</f>
        <v>52000</v>
      </c>
    </row>
    <row r="26" spans="1:7" ht="24">
      <c r="A26" s="157" t="s">
        <v>1420</v>
      </c>
      <c r="B26" s="210" t="s">
        <v>372</v>
      </c>
      <c r="C26" s="147" t="s">
        <v>434</v>
      </c>
      <c r="D26" s="147" t="s">
        <v>1145</v>
      </c>
      <c r="E26" s="147" t="s">
        <v>1671</v>
      </c>
      <c r="F26" s="147" t="s">
        <v>1126</v>
      </c>
      <c r="G26" s="158">
        <v>52000</v>
      </c>
    </row>
    <row r="27" spans="1:7" ht="24">
      <c r="A27" s="157" t="s">
        <v>13</v>
      </c>
      <c r="B27" s="210" t="s">
        <v>372</v>
      </c>
      <c r="C27" s="147" t="s">
        <v>434</v>
      </c>
      <c r="D27" s="147" t="s">
        <v>1145</v>
      </c>
      <c r="E27" s="147" t="s">
        <v>15</v>
      </c>
      <c r="F27" s="147"/>
      <c r="G27" s="155">
        <f>G28</f>
        <v>16650</v>
      </c>
    </row>
    <row r="28" spans="1:7" ht="24">
      <c r="A28" s="152" t="s">
        <v>490</v>
      </c>
      <c r="B28" s="210" t="s">
        <v>372</v>
      </c>
      <c r="C28" s="147" t="s">
        <v>434</v>
      </c>
      <c r="D28" s="147" t="s">
        <v>1145</v>
      </c>
      <c r="E28" s="147" t="s">
        <v>15</v>
      </c>
      <c r="F28" s="147" t="s">
        <v>489</v>
      </c>
      <c r="G28" s="279">
        <f>G29</f>
        <v>16650</v>
      </c>
    </row>
    <row r="29" spans="1:7" ht="24">
      <c r="A29" s="157" t="s">
        <v>561</v>
      </c>
      <c r="B29" s="210" t="s">
        <v>372</v>
      </c>
      <c r="C29" s="147" t="s">
        <v>434</v>
      </c>
      <c r="D29" s="147" t="s">
        <v>1145</v>
      </c>
      <c r="E29" s="147" t="s">
        <v>15</v>
      </c>
      <c r="F29" s="147" t="s">
        <v>1126</v>
      </c>
      <c r="G29" s="279">
        <f>13000+3500+G32</f>
        <v>16650</v>
      </c>
    </row>
    <row r="30" spans="1:7" ht="24">
      <c r="A30" s="157" t="s">
        <v>1420</v>
      </c>
      <c r="B30" s="210" t="s">
        <v>372</v>
      </c>
      <c r="C30" s="147" t="s">
        <v>434</v>
      </c>
      <c r="D30" s="147" t="s">
        <v>1145</v>
      </c>
      <c r="E30" s="147" t="s">
        <v>15</v>
      </c>
      <c r="F30" s="147" t="s">
        <v>1126</v>
      </c>
      <c r="G30" s="158">
        <v>13000</v>
      </c>
    </row>
    <row r="31" spans="1:7" ht="24">
      <c r="A31" s="157" t="s">
        <v>1735</v>
      </c>
      <c r="B31" s="210" t="s">
        <v>372</v>
      </c>
      <c r="C31" s="147" t="s">
        <v>434</v>
      </c>
      <c r="D31" s="147" t="s">
        <v>1145</v>
      </c>
      <c r="E31" s="147" t="s">
        <v>15</v>
      </c>
      <c r="F31" s="147" t="s">
        <v>1126</v>
      </c>
      <c r="G31" s="158">
        <v>3500</v>
      </c>
    </row>
    <row r="32" spans="1:7" ht="24">
      <c r="A32" s="157" t="s">
        <v>1813</v>
      </c>
      <c r="B32" s="210" t="s">
        <v>372</v>
      </c>
      <c r="C32" s="147" t="s">
        <v>434</v>
      </c>
      <c r="D32" s="147" t="s">
        <v>1145</v>
      </c>
      <c r="E32" s="147" t="s">
        <v>15</v>
      </c>
      <c r="F32" s="147" t="s">
        <v>1126</v>
      </c>
      <c r="G32" s="158">
        <v>150</v>
      </c>
    </row>
    <row r="33" spans="1:7" ht="36">
      <c r="A33" s="157" t="s">
        <v>7</v>
      </c>
      <c r="B33" s="210" t="s">
        <v>372</v>
      </c>
      <c r="C33" s="147" t="s">
        <v>434</v>
      </c>
      <c r="D33" s="147" t="s">
        <v>1145</v>
      </c>
      <c r="E33" s="147" t="s">
        <v>9</v>
      </c>
      <c r="F33" s="147"/>
      <c r="G33" s="155">
        <f>G34+G38+G41</f>
        <v>1080177.3</v>
      </c>
    </row>
    <row r="34" spans="1:7" ht="78.75" customHeight="1">
      <c r="A34" s="179" t="s">
        <v>286</v>
      </c>
      <c r="B34" s="210" t="s">
        <v>372</v>
      </c>
      <c r="C34" s="147" t="s">
        <v>434</v>
      </c>
      <c r="D34" s="147" t="s">
        <v>1145</v>
      </c>
      <c r="E34" s="147" t="s">
        <v>16</v>
      </c>
      <c r="F34" s="147"/>
      <c r="G34" s="155">
        <f>G35</f>
        <v>767721</v>
      </c>
    </row>
    <row r="35" spans="1:7" ht="24">
      <c r="A35" s="152" t="s">
        <v>490</v>
      </c>
      <c r="B35" s="210" t="s">
        <v>372</v>
      </c>
      <c r="C35" s="147" t="s">
        <v>434</v>
      </c>
      <c r="D35" s="147" t="s">
        <v>1145</v>
      </c>
      <c r="E35" s="147" t="s">
        <v>16</v>
      </c>
      <c r="F35" s="147" t="s">
        <v>489</v>
      </c>
      <c r="G35" s="155">
        <f>G36</f>
        <v>767721</v>
      </c>
    </row>
    <row r="36" spans="1:7" ht="24">
      <c r="A36" s="157" t="s">
        <v>561</v>
      </c>
      <c r="B36" s="210" t="s">
        <v>372</v>
      </c>
      <c r="C36" s="147" t="s">
        <v>434</v>
      </c>
      <c r="D36" s="147" t="s">
        <v>1145</v>
      </c>
      <c r="E36" s="147" t="s">
        <v>16</v>
      </c>
      <c r="F36" s="147" t="s">
        <v>1126</v>
      </c>
      <c r="G36" s="158">
        <f>683883+G37+47353+14566+7607</f>
        <v>767721</v>
      </c>
    </row>
    <row r="37" spans="1:7" ht="24">
      <c r="A37" s="157" t="s">
        <v>184</v>
      </c>
      <c r="B37" s="210" t="s">
        <v>372</v>
      </c>
      <c r="C37" s="147" t="s">
        <v>434</v>
      </c>
      <c r="D37" s="147" t="s">
        <v>1145</v>
      </c>
      <c r="E37" s="147" t="s">
        <v>16</v>
      </c>
      <c r="F37" s="147" t="s">
        <v>1126</v>
      </c>
      <c r="G37" s="158">
        <f>13379+933</f>
        <v>14312</v>
      </c>
    </row>
    <row r="38" spans="1:7" ht="66" customHeight="1">
      <c r="A38" s="180" t="s">
        <v>744</v>
      </c>
      <c r="B38" s="210" t="s">
        <v>372</v>
      </c>
      <c r="C38" s="147" t="s">
        <v>434</v>
      </c>
      <c r="D38" s="147" t="s">
        <v>1145</v>
      </c>
      <c r="E38" s="147" t="s">
        <v>17</v>
      </c>
      <c r="F38" s="147"/>
      <c r="G38" s="155">
        <f>G39</f>
        <v>5589</v>
      </c>
    </row>
    <row r="39" spans="1:7" ht="24">
      <c r="A39" s="152" t="s">
        <v>490</v>
      </c>
      <c r="B39" s="210" t="s">
        <v>372</v>
      </c>
      <c r="C39" s="147" t="s">
        <v>434</v>
      </c>
      <c r="D39" s="147" t="s">
        <v>1145</v>
      </c>
      <c r="E39" s="147" t="s">
        <v>17</v>
      </c>
      <c r="F39" s="147" t="s">
        <v>489</v>
      </c>
      <c r="G39" s="155">
        <f>G40</f>
        <v>5589</v>
      </c>
    </row>
    <row r="40" spans="1:7" ht="24">
      <c r="A40" s="157" t="s">
        <v>18</v>
      </c>
      <c r="B40" s="210" t="s">
        <v>372</v>
      </c>
      <c r="C40" s="147" t="s">
        <v>434</v>
      </c>
      <c r="D40" s="147" t="s">
        <v>1145</v>
      </c>
      <c r="E40" s="147" t="s">
        <v>17</v>
      </c>
      <c r="F40" s="147" t="s">
        <v>595</v>
      </c>
      <c r="G40" s="158">
        <f>2990+2115+308+113+56+7</f>
        <v>5589</v>
      </c>
    </row>
    <row r="41" spans="1:7" ht="24">
      <c r="A41" s="157" t="s">
        <v>13</v>
      </c>
      <c r="B41" s="210" t="s">
        <v>372</v>
      </c>
      <c r="C41" s="147" t="s">
        <v>434</v>
      </c>
      <c r="D41" s="147" t="s">
        <v>1145</v>
      </c>
      <c r="E41" s="147" t="s">
        <v>1195</v>
      </c>
      <c r="F41" s="147"/>
      <c r="G41" s="155">
        <f>G42</f>
        <v>306867.30000000005</v>
      </c>
    </row>
    <row r="42" spans="1:7" ht="24">
      <c r="A42" s="152" t="s">
        <v>490</v>
      </c>
      <c r="B42" s="210" t="s">
        <v>372</v>
      </c>
      <c r="C42" s="147" t="s">
        <v>434</v>
      </c>
      <c r="D42" s="147" t="s">
        <v>1145</v>
      </c>
      <c r="E42" s="147" t="s">
        <v>1195</v>
      </c>
      <c r="F42" s="147" t="s">
        <v>489</v>
      </c>
      <c r="G42" s="155">
        <f>G43</f>
        <v>306867.30000000005</v>
      </c>
    </row>
    <row r="43" spans="1:7" ht="24">
      <c r="A43" s="157" t="s">
        <v>1125</v>
      </c>
      <c r="B43" s="210" t="s">
        <v>372</v>
      </c>
      <c r="C43" s="150" t="s">
        <v>434</v>
      </c>
      <c r="D43" s="150" t="s">
        <v>1145</v>
      </c>
      <c r="E43" s="147" t="s">
        <v>1195</v>
      </c>
      <c r="F43" s="150" t="s">
        <v>1126</v>
      </c>
      <c r="G43" s="158">
        <f>234736-330+44022.9-44937.9+G44+G45+G46+28728.5+G47+30000+8000+2950</f>
        <v>306867.30000000005</v>
      </c>
    </row>
    <row r="44" spans="1:7" ht="24">
      <c r="A44" s="157" t="s">
        <v>1608</v>
      </c>
      <c r="B44" s="210" t="s">
        <v>372</v>
      </c>
      <c r="C44" s="150" t="s">
        <v>434</v>
      </c>
      <c r="D44" s="150" t="s">
        <v>1145</v>
      </c>
      <c r="E44" s="147" t="s">
        <v>1195</v>
      </c>
      <c r="F44" s="150" t="s">
        <v>1126</v>
      </c>
      <c r="G44" s="158">
        <f>14850-14850</f>
        <v>0</v>
      </c>
    </row>
    <row r="45" spans="1:7" ht="24">
      <c r="A45" s="157" t="s">
        <v>1609</v>
      </c>
      <c r="B45" s="210" t="s">
        <v>372</v>
      </c>
      <c r="C45" s="150" t="s">
        <v>434</v>
      </c>
      <c r="D45" s="150" t="s">
        <v>1145</v>
      </c>
      <c r="E45" s="147" t="s">
        <v>1195</v>
      </c>
      <c r="F45" s="150" t="s">
        <v>1126</v>
      </c>
      <c r="G45" s="158">
        <v>1577.8</v>
      </c>
    </row>
    <row r="46" spans="1:7" ht="24">
      <c r="A46" s="157" t="s">
        <v>1672</v>
      </c>
      <c r="B46" s="210" t="s">
        <v>372</v>
      </c>
      <c r="C46" s="150" t="s">
        <v>434</v>
      </c>
      <c r="D46" s="150" t="s">
        <v>1145</v>
      </c>
      <c r="E46" s="147" t="s">
        <v>1195</v>
      </c>
      <c r="F46" s="150" t="s">
        <v>1126</v>
      </c>
      <c r="G46" s="158">
        <v>20</v>
      </c>
    </row>
    <row r="47" spans="1:7" ht="24">
      <c r="A47" s="157" t="s">
        <v>1715</v>
      </c>
      <c r="B47" s="210" t="s">
        <v>372</v>
      </c>
      <c r="C47" s="150" t="s">
        <v>434</v>
      </c>
      <c r="D47" s="150" t="s">
        <v>1145</v>
      </c>
      <c r="E47" s="147" t="s">
        <v>1195</v>
      </c>
      <c r="F47" s="150" t="s">
        <v>1126</v>
      </c>
      <c r="G47" s="158">
        <v>2100</v>
      </c>
    </row>
    <row r="48" spans="1:7" ht="31.5" customHeight="1">
      <c r="A48" s="157" t="s">
        <v>1583</v>
      </c>
      <c r="B48" s="210" t="s">
        <v>372</v>
      </c>
      <c r="C48" s="150" t="s">
        <v>434</v>
      </c>
      <c r="D48" s="150" t="s">
        <v>1145</v>
      </c>
      <c r="E48" s="147" t="s">
        <v>1559</v>
      </c>
      <c r="F48" s="150"/>
      <c r="G48" s="279">
        <f>G49+G53</f>
        <v>550</v>
      </c>
    </row>
    <row r="49" spans="1:7" ht="48">
      <c r="A49" s="157" t="s">
        <v>1673</v>
      </c>
      <c r="B49" s="210" t="s">
        <v>372</v>
      </c>
      <c r="C49" s="150" t="s">
        <v>434</v>
      </c>
      <c r="D49" s="150" t="s">
        <v>1145</v>
      </c>
      <c r="E49" s="147" t="s">
        <v>1674</v>
      </c>
      <c r="F49" s="150"/>
      <c r="G49" s="279">
        <f>G50</f>
        <v>500</v>
      </c>
    </row>
    <row r="50" spans="1:7" ht="24">
      <c r="A50" s="152" t="s">
        <v>490</v>
      </c>
      <c r="B50" s="210" t="s">
        <v>372</v>
      </c>
      <c r="C50" s="150" t="s">
        <v>434</v>
      </c>
      <c r="D50" s="150" t="s">
        <v>1145</v>
      </c>
      <c r="E50" s="147" t="s">
        <v>1674</v>
      </c>
      <c r="F50" s="150" t="s">
        <v>489</v>
      </c>
      <c r="G50" s="279">
        <f>G51</f>
        <v>500</v>
      </c>
    </row>
    <row r="51" spans="1:7" ht="24">
      <c r="A51" s="157" t="s">
        <v>561</v>
      </c>
      <c r="B51" s="210" t="s">
        <v>372</v>
      </c>
      <c r="C51" s="150" t="s">
        <v>434</v>
      </c>
      <c r="D51" s="150" t="s">
        <v>1145</v>
      </c>
      <c r="E51" s="147" t="s">
        <v>1674</v>
      </c>
      <c r="F51" s="150" t="s">
        <v>1126</v>
      </c>
      <c r="G51" s="279">
        <f>G52</f>
        <v>500</v>
      </c>
    </row>
    <row r="52" spans="1:7" ht="24">
      <c r="A52" s="157" t="s">
        <v>1675</v>
      </c>
      <c r="B52" s="210" t="s">
        <v>372</v>
      </c>
      <c r="C52" s="150" t="s">
        <v>434</v>
      </c>
      <c r="D52" s="150" t="s">
        <v>1145</v>
      </c>
      <c r="E52" s="147" t="s">
        <v>1674</v>
      </c>
      <c r="F52" s="150" t="s">
        <v>1126</v>
      </c>
      <c r="G52" s="158">
        <v>500</v>
      </c>
    </row>
    <row r="53" spans="1:7" ht="24">
      <c r="A53" s="157" t="s">
        <v>13</v>
      </c>
      <c r="B53" s="210" t="s">
        <v>372</v>
      </c>
      <c r="C53" s="150" t="s">
        <v>434</v>
      </c>
      <c r="D53" s="150" t="s">
        <v>1145</v>
      </c>
      <c r="E53" s="147" t="s">
        <v>1560</v>
      </c>
      <c r="F53" s="150"/>
      <c r="G53" s="279">
        <f>G54</f>
        <v>50</v>
      </c>
    </row>
    <row r="54" spans="1:7" ht="24">
      <c r="A54" s="152" t="s">
        <v>490</v>
      </c>
      <c r="B54" s="210" t="s">
        <v>372</v>
      </c>
      <c r="C54" s="150" t="s">
        <v>434</v>
      </c>
      <c r="D54" s="150" t="s">
        <v>1145</v>
      </c>
      <c r="E54" s="147" t="s">
        <v>1560</v>
      </c>
      <c r="F54" s="150" t="s">
        <v>489</v>
      </c>
      <c r="G54" s="279">
        <f>G55</f>
        <v>50</v>
      </c>
    </row>
    <row r="55" spans="1:7" ht="24">
      <c r="A55" s="157" t="s">
        <v>1125</v>
      </c>
      <c r="B55" s="210" t="s">
        <v>372</v>
      </c>
      <c r="C55" s="150" t="s">
        <v>434</v>
      </c>
      <c r="D55" s="150" t="s">
        <v>1145</v>
      </c>
      <c r="E55" s="147" t="s">
        <v>1560</v>
      </c>
      <c r="F55" s="150" t="s">
        <v>1126</v>
      </c>
      <c r="G55" s="279">
        <f>G56</f>
        <v>50</v>
      </c>
    </row>
    <row r="56" spans="1:7" ht="36">
      <c r="A56" s="157" t="s">
        <v>1561</v>
      </c>
      <c r="B56" s="210" t="s">
        <v>372</v>
      </c>
      <c r="C56" s="150" t="s">
        <v>434</v>
      </c>
      <c r="D56" s="150" t="s">
        <v>1145</v>
      </c>
      <c r="E56" s="147" t="s">
        <v>1560</v>
      </c>
      <c r="F56" s="150" t="s">
        <v>1126</v>
      </c>
      <c r="G56" s="158">
        <f>250-30-170</f>
        <v>50</v>
      </c>
    </row>
    <row r="57" spans="1:7" ht="15">
      <c r="A57" s="156" t="s">
        <v>317</v>
      </c>
      <c r="B57" s="210" t="s">
        <v>372</v>
      </c>
      <c r="C57" s="147" t="s">
        <v>434</v>
      </c>
      <c r="D57" s="147" t="s">
        <v>405</v>
      </c>
      <c r="E57" s="147"/>
      <c r="F57" s="147"/>
      <c r="G57" s="155">
        <f>G164+G58</f>
        <v>1809399.7000000002</v>
      </c>
    </row>
    <row r="58" spans="1:7" ht="24">
      <c r="A58" s="164" t="s">
        <v>1416</v>
      </c>
      <c r="B58" s="210" t="s">
        <v>372</v>
      </c>
      <c r="C58" s="183" t="s">
        <v>434</v>
      </c>
      <c r="D58" s="183" t="s">
        <v>405</v>
      </c>
      <c r="E58" s="184" t="s">
        <v>3</v>
      </c>
      <c r="F58" s="147"/>
      <c r="G58" s="155">
        <f>G59+G149</f>
        <v>1801691.7000000002</v>
      </c>
    </row>
    <row r="59" spans="1:7" ht="15">
      <c r="A59" s="173" t="s">
        <v>1736</v>
      </c>
      <c r="B59" s="210" t="s">
        <v>372</v>
      </c>
      <c r="C59" s="183" t="s">
        <v>434</v>
      </c>
      <c r="D59" s="183" t="s">
        <v>405</v>
      </c>
      <c r="E59" s="185" t="s">
        <v>4</v>
      </c>
      <c r="F59" s="147"/>
      <c r="G59" s="155">
        <f>G60+G73+G91+G142+G112</f>
        <v>1801441.7000000002</v>
      </c>
    </row>
    <row r="60" spans="1:7" ht="36">
      <c r="A60" s="173" t="s">
        <v>837</v>
      </c>
      <c r="B60" s="210" t="s">
        <v>372</v>
      </c>
      <c r="C60" s="183" t="s">
        <v>434</v>
      </c>
      <c r="D60" s="183" t="s">
        <v>405</v>
      </c>
      <c r="E60" s="185" t="s">
        <v>5</v>
      </c>
      <c r="F60" s="147"/>
      <c r="G60" s="155">
        <f>G61+G66+G69</f>
        <v>84518</v>
      </c>
    </row>
    <row r="61" spans="1:7" ht="60">
      <c r="A61" s="152" t="s">
        <v>164</v>
      </c>
      <c r="B61" s="210" t="s">
        <v>372</v>
      </c>
      <c r="C61" s="147" t="s">
        <v>434</v>
      </c>
      <c r="D61" s="147" t="s">
        <v>405</v>
      </c>
      <c r="E61" s="147" t="s">
        <v>1421</v>
      </c>
      <c r="F61" s="147"/>
      <c r="G61" s="155">
        <f>G62</f>
        <v>84124</v>
      </c>
    </row>
    <row r="62" spans="1:7" ht="24">
      <c r="A62" s="152" t="s">
        <v>490</v>
      </c>
      <c r="B62" s="210" t="s">
        <v>372</v>
      </c>
      <c r="C62" s="147" t="s">
        <v>434</v>
      </c>
      <c r="D62" s="147" t="s">
        <v>405</v>
      </c>
      <c r="E62" s="147" t="s">
        <v>1421</v>
      </c>
      <c r="F62" s="147" t="s">
        <v>489</v>
      </c>
      <c r="G62" s="155">
        <f>G63+G64+G65</f>
        <v>84124</v>
      </c>
    </row>
    <row r="63" spans="1:7" ht="24">
      <c r="A63" s="157" t="s">
        <v>573</v>
      </c>
      <c r="B63" s="210" t="s">
        <v>372</v>
      </c>
      <c r="C63" s="147" t="s">
        <v>434</v>
      </c>
      <c r="D63" s="147" t="s">
        <v>405</v>
      </c>
      <c r="E63" s="147" t="s">
        <v>1421</v>
      </c>
      <c r="F63" s="147" t="s">
        <v>574</v>
      </c>
      <c r="G63" s="158">
        <f>1200</f>
        <v>1200</v>
      </c>
    </row>
    <row r="64" spans="1:7" ht="24">
      <c r="A64" s="157" t="s">
        <v>158</v>
      </c>
      <c r="B64" s="210" t="s">
        <v>372</v>
      </c>
      <c r="C64" s="147" t="s">
        <v>434</v>
      </c>
      <c r="D64" s="147" t="s">
        <v>405</v>
      </c>
      <c r="E64" s="147" t="s">
        <v>1421</v>
      </c>
      <c r="F64" s="147" t="s">
        <v>1126</v>
      </c>
      <c r="G64" s="158">
        <f>81624</f>
        <v>81624</v>
      </c>
    </row>
    <row r="65" spans="1:7" ht="24">
      <c r="A65" s="157" t="s">
        <v>796</v>
      </c>
      <c r="B65" s="210" t="s">
        <v>372</v>
      </c>
      <c r="C65" s="150" t="s">
        <v>434</v>
      </c>
      <c r="D65" s="150" t="s">
        <v>405</v>
      </c>
      <c r="E65" s="147" t="s">
        <v>1421</v>
      </c>
      <c r="F65" s="150" t="s">
        <v>595</v>
      </c>
      <c r="G65" s="158">
        <v>1300</v>
      </c>
    </row>
    <row r="66" spans="1:7" ht="38.25" customHeight="1">
      <c r="A66" s="152" t="s">
        <v>187</v>
      </c>
      <c r="B66" s="210" t="s">
        <v>372</v>
      </c>
      <c r="C66" s="147" t="s">
        <v>434</v>
      </c>
      <c r="D66" s="147" t="s">
        <v>405</v>
      </c>
      <c r="E66" s="147" t="s">
        <v>838</v>
      </c>
      <c r="F66" s="147"/>
      <c r="G66" s="155">
        <f>G67</f>
        <v>394</v>
      </c>
    </row>
    <row r="67" spans="1:7" ht="24">
      <c r="A67" s="153" t="s">
        <v>530</v>
      </c>
      <c r="B67" s="210" t="s">
        <v>372</v>
      </c>
      <c r="C67" s="147" t="s">
        <v>434</v>
      </c>
      <c r="D67" s="147" t="s">
        <v>405</v>
      </c>
      <c r="E67" s="147" t="s">
        <v>838</v>
      </c>
      <c r="F67" s="147" t="s">
        <v>531</v>
      </c>
      <c r="G67" s="155">
        <f>G68</f>
        <v>394</v>
      </c>
    </row>
    <row r="68" spans="1:7" ht="24">
      <c r="A68" s="157" t="s">
        <v>1073</v>
      </c>
      <c r="B68" s="210" t="s">
        <v>372</v>
      </c>
      <c r="C68" s="147" t="s">
        <v>434</v>
      </c>
      <c r="D68" s="147" t="s">
        <v>405</v>
      </c>
      <c r="E68" s="147" t="s">
        <v>838</v>
      </c>
      <c r="F68" s="147" t="s">
        <v>399</v>
      </c>
      <c r="G68" s="158">
        <f>394</f>
        <v>394</v>
      </c>
    </row>
    <row r="69" spans="1:7" ht="24">
      <c r="A69" s="157" t="s">
        <v>671</v>
      </c>
      <c r="B69" s="210" t="s">
        <v>372</v>
      </c>
      <c r="C69" s="150" t="s">
        <v>434</v>
      </c>
      <c r="D69" s="150" t="s">
        <v>405</v>
      </c>
      <c r="E69" s="147" t="s">
        <v>1422</v>
      </c>
      <c r="F69" s="150"/>
      <c r="G69" s="155">
        <f>G70</f>
        <v>0</v>
      </c>
    </row>
    <row r="70" spans="1:7" ht="24">
      <c r="A70" s="152" t="s">
        <v>490</v>
      </c>
      <c r="B70" s="210" t="s">
        <v>372</v>
      </c>
      <c r="C70" s="150" t="s">
        <v>434</v>
      </c>
      <c r="D70" s="150" t="s">
        <v>405</v>
      </c>
      <c r="E70" s="147" t="s">
        <v>1422</v>
      </c>
      <c r="F70" s="150" t="s">
        <v>489</v>
      </c>
      <c r="G70" s="155">
        <f>G71+G72</f>
        <v>0</v>
      </c>
    </row>
    <row r="71" spans="1:7" ht="24">
      <c r="A71" s="157" t="s">
        <v>371</v>
      </c>
      <c r="B71" s="210" t="s">
        <v>372</v>
      </c>
      <c r="C71" s="150" t="s">
        <v>434</v>
      </c>
      <c r="D71" s="150" t="s">
        <v>405</v>
      </c>
      <c r="E71" s="147" t="s">
        <v>1422</v>
      </c>
      <c r="F71" s="150" t="s">
        <v>574</v>
      </c>
      <c r="G71" s="158">
        <f>500-500</f>
        <v>0</v>
      </c>
    </row>
    <row r="72" spans="1:7" ht="24">
      <c r="A72" s="157" t="s">
        <v>158</v>
      </c>
      <c r="B72" s="210" t="s">
        <v>372</v>
      </c>
      <c r="C72" s="150" t="s">
        <v>434</v>
      </c>
      <c r="D72" s="150" t="s">
        <v>405</v>
      </c>
      <c r="E72" s="147" t="s">
        <v>1422</v>
      </c>
      <c r="F72" s="150" t="s">
        <v>1126</v>
      </c>
      <c r="G72" s="158">
        <f>700-700</f>
        <v>0</v>
      </c>
    </row>
    <row r="73" spans="1:7" ht="24">
      <c r="A73" s="157" t="s">
        <v>1184</v>
      </c>
      <c r="B73" s="210" t="s">
        <v>372</v>
      </c>
      <c r="C73" s="147" t="s">
        <v>434</v>
      </c>
      <c r="D73" s="147" t="s">
        <v>405</v>
      </c>
      <c r="E73" s="147" t="s">
        <v>1185</v>
      </c>
      <c r="F73" s="147"/>
      <c r="G73" s="155">
        <f>G74+G80+G83+G87</f>
        <v>1528615.5</v>
      </c>
    </row>
    <row r="74" spans="1:7" ht="96">
      <c r="A74" s="152" t="s">
        <v>968</v>
      </c>
      <c r="B74" s="210" t="s">
        <v>372</v>
      </c>
      <c r="C74" s="147" t="s">
        <v>434</v>
      </c>
      <c r="D74" s="147" t="s">
        <v>405</v>
      </c>
      <c r="E74" s="185" t="s">
        <v>1186</v>
      </c>
      <c r="F74" s="147"/>
      <c r="G74" s="155">
        <f>G75</f>
        <v>1321954</v>
      </c>
    </row>
    <row r="75" spans="1:7" ht="24">
      <c r="A75" s="152" t="s">
        <v>490</v>
      </c>
      <c r="B75" s="210" t="s">
        <v>372</v>
      </c>
      <c r="C75" s="147" t="s">
        <v>434</v>
      </c>
      <c r="D75" s="147" t="s">
        <v>405</v>
      </c>
      <c r="E75" s="185" t="s">
        <v>1186</v>
      </c>
      <c r="F75" s="147" t="s">
        <v>489</v>
      </c>
      <c r="G75" s="155">
        <f>G76+G78</f>
        <v>1321954</v>
      </c>
    </row>
    <row r="76" spans="1:7" ht="15">
      <c r="A76" s="157" t="s">
        <v>491</v>
      </c>
      <c r="B76" s="210" t="s">
        <v>372</v>
      </c>
      <c r="C76" s="147" t="s">
        <v>434</v>
      </c>
      <c r="D76" s="147" t="s">
        <v>405</v>
      </c>
      <c r="E76" s="185" t="s">
        <v>1186</v>
      </c>
      <c r="F76" s="147" t="s">
        <v>574</v>
      </c>
      <c r="G76" s="158">
        <f>100000+G77+180+7308+1790+16</f>
        <v>109987</v>
      </c>
    </row>
    <row r="77" spans="1:7" ht="24">
      <c r="A77" s="115" t="s">
        <v>184</v>
      </c>
      <c r="B77" s="210" t="s">
        <v>372</v>
      </c>
      <c r="C77" s="147" t="s">
        <v>434</v>
      </c>
      <c r="D77" s="147" t="s">
        <v>405</v>
      </c>
      <c r="E77" s="185" t="s">
        <v>1186</v>
      </c>
      <c r="F77" s="147" t="s">
        <v>574</v>
      </c>
      <c r="G77" s="158">
        <f>648+45</f>
        <v>693</v>
      </c>
    </row>
    <row r="78" spans="1:7" ht="15">
      <c r="A78" s="157" t="s">
        <v>561</v>
      </c>
      <c r="B78" s="210" t="s">
        <v>372</v>
      </c>
      <c r="C78" s="147" t="s">
        <v>434</v>
      </c>
      <c r="D78" s="147" t="s">
        <v>405</v>
      </c>
      <c r="E78" s="185" t="s">
        <v>1186</v>
      </c>
      <c r="F78" s="147" t="s">
        <v>1126</v>
      </c>
      <c r="G78" s="158">
        <f>1108412+415+G79+11190+41000+9500+734</f>
        <v>1211967</v>
      </c>
    </row>
    <row r="79" spans="1:7" ht="24">
      <c r="A79" s="115" t="s">
        <v>184</v>
      </c>
      <c r="B79" s="210" t="s">
        <v>372</v>
      </c>
      <c r="C79" s="147" t="s">
        <v>434</v>
      </c>
      <c r="D79" s="147" t="s">
        <v>405</v>
      </c>
      <c r="E79" s="185" t="s">
        <v>1186</v>
      </c>
      <c r="F79" s="147" t="s">
        <v>1126</v>
      </c>
      <c r="G79" s="158">
        <f>38055+2661</f>
        <v>40716</v>
      </c>
    </row>
    <row r="80" spans="1:7" ht="108">
      <c r="A80" s="157" t="s">
        <v>995</v>
      </c>
      <c r="B80" s="210" t="s">
        <v>372</v>
      </c>
      <c r="C80" s="150" t="s">
        <v>434</v>
      </c>
      <c r="D80" s="150" t="s">
        <v>405</v>
      </c>
      <c r="E80" s="150" t="s">
        <v>1187</v>
      </c>
      <c r="F80" s="150"/>
      <c r="G80" s="155">
        <f>G81</f>
        <v>15527</v>
      </c>
    </row>
    <row r="81" spans="1:7" ht="24">
      <c r="A81" s="152" t="s">
        <v>490</v>
      </c>
      <c r="B81" s="210" t="s">
        <v>372</v>
      </c>
      <c r="C81" s="150" t="s">
        <v>434</v>
      </c>
      <c r="D81" s="150" t="s">
        <v>405</v>
      </c>
      <c r="E81" s="150" t="s">
        <v>1187</v>
      </c>
      <c r="F81" s="150" t="s">
        <v>489</v>
      </c>
      <c r="G81" s="155">
        <f>G82</f>
        <v>15527</v>
      </c>
    </row>
    <row r="82" spans="1:7" ht="24">
      <c r="A82" s="157" t="s">
        <v>796</v>
      </c>
      <c r="B82" s="210" t="s">
        <v>372</v>
      </c>
      <c r="C82" s="150" t="s">
        <v>434</v>
      </c>
      <c r="D82" s="150" t="s">
        <v>405</v>
      </c>
      <c r="E82" s="150" t="s">
        <v>1187</v>
      </c>
      <c r="F82" s="150" t="s">
        <v>595</v>
      </c>
      <c r="G82" s="158">
        <f>16425-657-237-4</f>
        <v>15527</v>
      </c>
    </row>
    <row r="83" spans="1:7" ht="36">
      <c r="A83" s="152" t="s">
        <v>189</v>
      </c>
      <c r="B83" s="210" t="s">
        <v>372</v>
      </c>
      <c r="C83" s="147" t="s">
        <v>434</v>
      </c>
      <c r="D83" s="147" t="s">
        <v>405</v>
      </c>
      <c r="E83" s="147" t="s">
        <v>1188</v>
      </c>
      <c r="F83" s="147"/>
      <c r="G83" s="155">
        <f>G84</f>
        <v>0</v>
      </c>
    </row>
    <row r="84" spans="1:7" ht="24">
      <c r="A84" s="152" t="s">
        <v>490</v>
      </c>
      <c r="B84" s="210" t="s">
        <v>372</v>
      </c>
      <c r="C84" s="147" t="s">
        <v>434</v>
      </c>
      <c r="D84" s="147" t="s">
        <v>405</v>
      </c>
      <c r="E84" s="147" t="s">
        <v>1188</v>
      </c>
      <c r="F84" s="147" t="s">
        <v>489</v>
      </c>
      <c r="G84" s="155">
        <f>G85+G86</f>
        <v>0</v>
      </c>
    </row>
    <row r="85" spans="1:7" ht="24">
      <c r="A85" s="157" t="s">
        <v>573</v>
      </c>
      <c r="B85" s="210" t="s">
        <v>372</v>
      </c>
      <c r="C85" s="147" t="s">
        <v>434</v>
      </c>
      <c r="D85" s="147" t="s">
        <v>405</v>
      </c>
      <c r="E85" s="147" t="s">
        <v>1188</v>
      </c>
      <c r="F85" s="147" t="s">
        <v>574</v>
      </c>
      <c r="G85" s="158">
        <f>180-180</f>
        <v>0</v>
      </c>
    </row>
    <row r="86" spans="1:7" ht="24">
      <c r="A86" s="157" t="s">
        <v>158</v>
      </c>
      <c r="B86" s="210" t="s">
        <v>372</v>
      </c>
      <c r="C86" s="147" t="s">
        <v>434</v>
      </c>
      <c r="D86" s="147" t="s">
        <v>405</v>
      </c>
      <c r="E86" s="147" t="s">
        <v>1188</v>
      </c>
      <c r="F86" s="147" t="s">
        <v>1126</v>
      </c>
      <c r="G86" s="158">
        <f>11190-11190</f>
        <v>0</v>
      </c>
    </row>
    <row r="87" spans="1:7" ht="24">
      <c r="A87" s="179" t="s">
        <v>1189</v>
      </c>
      <c r="B87" s="210" t="s">
        <v>372</v>
      </c>
      <c r="C87" s="150" t="s">
        <v>434</v>
      </c>
      <c r="D87" s="150" t="s">
        <v>405</v>
      </c>
      <c r="E87" s="147" t="s">
        <v>1190</v>
      </c>
      <c r="F87" s="147"/>
      <c r="G87" s="155">
        <f>G88</f>
        <v>191134.5</v>
      </c>
    </row>
    <row r="88" spans="1:7" ht="24">
      <c r="A88" s="152" t="s">
        <v>490</v>
      </c>
      <c r="B88" s="210" t="s">
        <v>372</v>
      </c>
      <c r="C88" s="150" t="s">
        <v>434</v>
      </c>
      <c r="D88" s="150" t="s">
        <v>405</v>
      </c>
      <c r="E88" s="147" t="s">
        <v>1190</v>
      </c>
      <c r="F88" s="147" t="s">
        <v>489</v>
      </c>
      <c r="G88" s="155">
        <f>G89+G90</f>
        <v>191134.5</v>
      </c>
    </row>
    <row r="89" spans="1:7" ht="24">
      <c r="A89" s="157" t="s">
        <v>371</v>
      </c>
      <c r="B89" s="210" t="s">
        <v>372</v>
      </c>
      <c r="C89" s="150" t="s">
        <v>434</v>
      </c>
      <c r="D89" s="150" t="s">
        <v>405</v>
      </c>
      <c r="E89" s="147" t="s">
        <v>1190</v>
      </c>
      <c r="F89" s="150" t="s">
        <v>574</v>
      </c>
      <c r="G89" s="158">
        <f>2603+1660+513-500</f>
        <v>4276</v>
      </c>
    </row>
    <row r="90" spans="1:7" ht="24">
      <c r="A90" s="157" t="s">
        <v>561</v>
      </c>
      <c r="B90" s="210" t="s">
        <v>372</v>
      </c>
      <c r="C90" s="150" t="s">
        <v>434</v>
      </c>
      <c r="D90" s="150" t="s">
        <v>405</v>
      </c>
      <c r="E90" s="147" t="s">
        <v>1190</v>
      </c>
      <c r="F90" s="150" t="s">
        <v>1126</v>
      </c>
      <c r="G90" s="158">
        <f>144054-2700-180+298+1000+34199.5+670-370+10687-794-6</f>
        <v>186858.5</v>
      </c>
    </row>
    <row r="91" spans="1:7" ht="36">
      <c r="A91" s="157" t="s">
        <v>996</v>
      </c>
      <c r="B91" s="210" t="s">
        <v>372</v>
      </c>
      <c r="C91" s="150" t="s">
        <v>434</v>
      </c>
      <c r="D91" s="150" t="s">
        <v>405</v>
      </c>
      <c r="E91" s="147" t="s">
        <v>1423</v>
      </c>
      <c r="F91" s="150"/>
      <c r="G91" s="279">
        <f>G92+G96+G102+G108</f>
        <v>125652.1</v>
      </c>
    </row>
    <row r="92" spans="1:7" ht="24">
      <c r="A92" s="312" t="s">
        <v>1562</v>
      </c>
      <c r="B92" s="210" t="s">
        <v>372</v>
      </c>
      <c r="C92" s="150" t="s">
        <v>434</v>
      </c>
      <c r="D92" s="150" t="s">
        <v>405</v>
      </c>
      <c r="E92" s="147" t="s">
        <v>1563</v>
      </c>
      <c r="F92" s="150"/>
      <c r="G92" s="279">
        <f>G93</f>
        <v>94834.3</v>
      </c>
    </row>
    <row r="93" spans="1:7" ht="24">
      <c r="A93" s="152" t="s">
        <v>461</v>
      </c>
      <c r="B93" s="210" t="s">
        <v>372</v>
      </c>
      <c r="C93" s="150" t="s">
        <v>434</v>
      </c>
      <c r="D93" s="150" t="s">
        <v>405</v>
      </c>
      <c r="E93" s="147" t="s">
        <v>1563</v>
      </c>
      <c r="F93" s="150" t="s">
        <v>1167</v>
      </c>
      <c r="G93" s="279">
        <f>G94</f>
        <v>94834.3</v>
      </c>
    </row>
    <row r="94" spans="1:7" ht="36">
      <c r="A94" s="157" t="s">
        <v>444</v>
      </c>
      <c r="B94" s="210" t="s">
        <v>372</v>
      </c>
      <c r="C94" s="150" t="s">
        <v>434</v>
      </c>
      <c r="D94" s="150" t="s">
        <v>405</v>
      </c>
      <c r="E94" s="147" t="s">
        <v>1563</v>
      </c>
      <c r="F94" s="150" t="s">
        <v>881</v>
      </c>
      <c r="G94" s="279">
        <f>G95</f>
        <v>94834.3</v>
      </c>
    </row>
    <row r="95" spans="1:7" ht="24">
      <c r="A95" s="313" t="s">
        <v>1564</v>
      </c>
      <c r="B95" s="210" t="s">
        <v>372</v>
      </c>
      <c r="C95" s="150" t="s">
        <v>434</v>
      </c>
      <c r="D95" s="150" t="s">
        <v>405</v>
      </c>
      <c r="E95" s="147" t="s">
        <v>1563</v>
      </c>
      <c r="F95" s="150" t="s">
        <v>881</v>
      </c>
      <c r="G95" s="158">
        <f>16453.44+78380.86</f>
        <v>94834.3</v>
      </c>
    </row>
    <row r="96" spans="1:7" ht="24">
      <c r="A96" s="179" t="s">
        <v>1189</v>
      </c>
      <c r="B96" s="210" t="s">
        <v>372</v>
      </c>
      <c r="C96" s="150" t="s">
        <v>434</v>
      </c>
      <c r="D96" s="150" t="s">
        <v>405</v>
      </c>
      <c r="E96" s="147" t="s">
        <v>1434</v>
      </c>
      <c r="F96" s="150"/>
      <c r="G96" s="279">
        <f>G97</f>
        <v>1700</v>
      </c>
    </row>
    <row r="97" spans="1:7" ht="24">
      <c r="A97" s="152" t="s">
        <v>490</v>
      </c>
      <c r="B97" s="210" t="s">
        <v>372</v>
      </c>
      <c r="C97" s="150" t="s">
        <v>434</v>
      </c>
      <c r="D97" s="150" t="s">
        <v>405</v>
      </c>
      <c r="E97" s="147" t="s">
        <v>1434</v>
      </c>
      <c r="F97" s="150" t="s">
        <v>489</v>
      </c>
      <c r="G97" s="279">
        <f>G98</f>
        <v>1700</v>
      </c>
    </row>
    <row r="98" spans="1:7" ht="24">
      <c r="A98" s="157" t="s">
        <v>561</v>
      </c>
      <c r="B98" s="210" t="s">
        <v>372</v>
      </c>
      <c r="C98" s="150" t="s">
        <v>434</v>
      </c>
      <c r="D98" s="150" t="s">
        <v>405</v>
      </c>
      <c r="E98" s="147" t="s">
        <v>1434</v>
      </c>
      <c r="F98" s="150" t="s">
        <v>1126</v>
      </c>
      <c r="G98" s="279">
        <f>G99+G100+G101</f>
        <v>1700</v>
      </c>
    </row>
    <row r="99" spans="1:7" ht="24">
      <c r="A99" s="315" t="s">
        <v>1610</v>
      </c>
      <c r="B99" s="210" t="s">
        <v>372</v>
      </c>
      <c r="C99" s="150" t="s">
        <v>434</v>
      </c>
      <c r="D99" s="150" t="s">
        <v>405</v>
      </c>
      <c r="E99" s="147" t="s">
        <v>1434</v>
      </c>
      <c r="F99" s="150" t="s">
        <v>1126</v>
      </c>
      <c r="G99" s="158">
        <v>200</v>
      </c>
    </row>
    <row r="100" spans="1:7" ht="16.5" customHeight="1">
      <c r="A100" s="315" t="s">
        <v>1738</v>
      </c>
      <c r="B100" s="210" t="s">
        <v>372</v>
      </c>
      <c r="C100" s="150" t="s">
        <v>434</v>
      </c>
      <c r="D100" s="150" t="s">
        <v>405</v>
      </c>
      <c r="E100" s="147" t="s">
        <v>1434</v>
      </c>
      <c r="F100" s="150" t="s">
        <v>1126</v>
      </c>
      <c r="G100" s="158">
        <v>1200</v>
      </c>
    </row>
    <row r="101" spans="1:7" ht="24">
      <c r="A101" s="315" t="s">
        <v>1739</v>
      </c>
      <c r="B101" s="210" t="s">
        <v>372</v>
      </c>
      <c r="C101" s="150" t="s">
        <v>434</v>
      </c>
      <c r="D101" s="150" t="s">
        <v>405</v>
      </c>
      <c r="E101" s="147" t="s">
        <v>1434</v>
      </c>
      <c r="F101" s="150" t="s">
        <v>1126</v>
      </c>
      <c r="G101" s="158">
        <v>300</v>
      </c>
    </row>
    <row r="102" spans="1:7" ht="24">
      <c r="A102" s="157" t="s">
        <v>834</v>
      </c>
      <c r="B102" s="210" t="s">
        <v>372</v>
      </c>
      <c r="C102" s="150" t="s">
        <v>434</v>
      </c>
      <c r="D102" s="150" t="s">
        <v>405</v>
      </c>
      <c r="E102" s="147" t="s">
        <v>1424</v>
      </c>
      <c r="F102" s="150"/>
      <c r="G102" s="279">
        <f>G103</f>
        <v>8684</v>
      </c>
    </row>
    <row r="103" spans="1:7" ht="24">
      <c r="A103" s="152" t="s">
        <v>461</v>
      </c>
      <c r="B103" s="210" t="s">
        <v>372</v>
      </c>
      <c r="C103" s="150" t="s">
        <v>434</v>
      </c>
      <c r="D103" s="150" t="s">
        <v>405</v>
      </c>
      <c r="E103" s="147" t="s">
        <v>1424</v>
      </c>
      <c r="F103" s="150" t="s">
        <v>1167</v>
      </c>
      <c r="G103" s="279">
        <f>G104</f>
        <v>8684</v>
      </c>
    </row>
    <row r="104" spans="1:7" ht="36">
      <c r="A104" s="157" t="s">
        <v>444</v>
      </c>
      <c r="B104" s="210" t="s">
        <v>372</v>
      </c>
      <c r="C104" s="150" t="s">
        <v>434</v>
      </c>
      <c r="D104" s="150" t="s">
        <v>405</v>
      </c>
      <c r="E104" s="147" t="s">
        <v>1424</v>
      </c>
      <c r="F104" s="150" t="s">
        <v>881</v>
      </c>
      <c r="G104" s="279">
        <f>G105+G106+G107</f>
        <v>8684</v>
      </c>
    </row>
    <row r="105" spans="1:7" ht="24">
      <c r="A105" s="157" t="s">
        <v>1374</v>
      </c>
      <c r="B105" s="210" t="s">
        <v>372</v>
      </c>
      <c r="C105" s="150" t="s">
        <v>434</v>
      </c>
      <c r="D105" s="150" t="s">
        <v>405</v>
      </c>
      <c r="E105" s="147" t="s">
        <v>1424</v>
      </c>
      <c r="F105" s="150" t="s">
        <v>881</v>
      </c>
      <c r="G105" s="158">
        <f>9550-9550</f>
        <v>0</v>
      </c>
    </row>
    <row r="106" spans="1:7" ht="24">
      <c r="A106" s="157" t="s">
        <v>1564</v>
      </c>
      <c r="B106" s="210" t="s">
        <v>372</v>
      </c>
      <c r="C106" s="150" t="s">
        <v>434</v>
      </c>
      <c r="D106" s="150" t="s">
        <v>405</v>
      </c>
      <c r="E106" s="147" t="s">
        <v>1424</v>
      </c>
      <c r="F106" s="150" t="s">
        <v>881</v>
      </c>
      <c r="G106" s="158">
        <f>866+19567.8-20433.8</f>
        <v>0</v>
      </c>
    </row>
    <row r="107" spans="1:7" ht="36">
      <c r="A107" s="157" t="s">
        <v>1565</v>
      </c>
      <c r="B107" s="210" t="s">
        <v>372</v>
      </c>
      <c r="C107" s="150" t="s">
        <v>434</v>
      </c>
      <c r="D107" s="150" t="s">
        <v>405</v>
      </c>
      <c r="E107" s="147" t="s">
        <v>1424</v>
      </c>
      <c r="F107" s="150" t="s">
        <v>881</v>
      </c>
      <c r="G107" s="158">
        <v>8684</v>
      </c>
    </row>
    <row r="108" spans="1:7" ht="24">
      <c r="A108" s="157" t="s">
        <v>1808</v>
      </c>
      <c r="B108" s="210" t="s">
        <v>372</v>
      </c>
      <c r="C108" s="150" t="s">
        <v>434</v>
      </c>
      <c r="D108" s="150" t="s">
        <v>405</v>
      </c>
      <c r="E108" s="147" t="s">
        <v>1807</v>
      </c>
      <c r="F108" s="150"/>
      <c r="G108" s="325">
        <f>G109</f>
        <v>20433.8</v>
      </c>
    </row>
    <row r="109" spans="1:7" ht="24">
      <c r="A109" s="152" t="s">
        <v>461</v>
      </c>
      <c r="B109" s="210" t="s">
        <v>372</v>
      </c>
      <c r="C109" s="150" t="s">
        <v>434</v>
      </c>
      <c r="D109" s="150" t="s">
        <v>405</v>
      </c>
      <c r="E109" s="147" t="s">
        <v>1807</v>
      </c>
      <c r="F109" s="150" t="s">
        <v>1167</v>
      </c>
      <c r="G109" s="325">
        <f>G110</f>
        <v>20433.8</v>
      </c>
    </row>
    <row r="110" spans="1:7" ht="36">
      <c r="A110" s="157" t="s">
        <v>444</v>
      </c>
      <c r="B110" s="210" t="s">
        <v>372</v>
      </c>
      <c r="C110" s="150" t="s">
        <v>434</v>
      </c>
      <c r="D110" s="150" t="s">
        <v>405</v>
      </c>
      <c r="E110" s="147" t="s">
        <v>1807</v>
      </c>
      <c r="F110" s="150" t="s">
        <v>881</v>
      </c>
      <c r="G110" s="325">
        <f>G111</f>
        <v>20433.8</v>
      </c>
    </row>
    <row r="111" spans="1:7" ht="24">
      <c r="A111" s="157" t="s">
        <v>1564</v>
      </c>
      <c r="B111" s="210" t="s">
        <v>372</v>
      </c>
      <c r="C111" s="150" t="s">
        <v>434</v>
      </c>
      <c r="D111" s="150" t="s">
        <v>405</v>
      </c>
      <c r="E111" s="147" t="s">
        <v>1807</v>
      </c>
      <c r="F111" s="150" t="s">
        <v>881</v>
      </c>
      <c r="G111" s="158">
        <v>20433.8</v>
      </c>
    </row>
    <row r="112" spans="1:7" ht="24">
      <c r="A112" s="157" t="s">
        <v>667</v>
      </c>
      <c r="B112" s="210" t="s">
        <v>372</v>
      </c>
      <c r="C112" s="150" t="s">
        <v>434</v>
      </c>
      <c r="D112" s="150" t="s">
        <v>405</v>
      </c>
      <c r="E112" s="147" t="s">
        <v>668</v>
      </c>
      <c r="F112" s="150"/>
      <c r="G112" s="279">
        <f>G113+G123+G117+G120+G138</f>
        <v>46675.1</v>
      </c>
    </row>
    <row r="113" spans="1:7" ht="60">
      <c r="A113" s="312" t="s">
        <v>1740</v>
      </c>
      <c r="B113" s="210" t="s">
        <v>372</v>
      </c>
      <c r="C113" s="150" t="s">
        <v>434</v>
      </c>
      <c r="D113" s="150" t="s">
        <v>405</v>
      </c>
      <c r="E113" s="147" t="s">
        <v>1773</v>
      </c>
      <c r="F113" s="147"/>
      <c r="G113" s="279">
        <f>G114</f>
        <v>1000</v>
      </c>
    </row>
    <row r="114" spans="1:7" ht="24">
      <c r="A114" s="152" t="s">
        <v>490</v>
      </c>
      <c r="B114" s="210" t="s">
        <v>372</v>
      </c>
      <c r="C114" s="150" t="s">
        <v>434</v>
      </c>
      <c r="D114" s="150" t="s">
        <v>405</v>
      </c>
      <c r="E114" s="147" t="s">
        <v>1773</v>
      </c>
      <c r="F114" s="147" t="s">
        <v>489</v>
      </c>
      <c r="G114" s="279">
        <f>G115</f>
        <v>1000</v>
      </c>
    </row>
    <row r="115" spans="1:7" ht="24">
      <c r="A115" s="157" t="s">
        <v>561</v>
      </c>
      <c r="B115" s="210" t="s">
        <v>372</v>
      </c>
      <c r="C115" s="150" t="s">
        <v>434</v>
      </c>
      <c r="D115" s="150" t="s">
        <v>405</v>
      </c>
      <c r="E115" s="147" t="s">
        <v>1773</v>
      </c>
      <c r="F115" s="147" t="s">
        <v>1126</v>
      </c>
      <c r="G115" s="155">
        <f>G116</f>
        <v>1000</v>
      </c>
    </row>
    <row r="116" spans="1:7" ht="48">
      <c r="A116" s="322" t="s">
        <v>1741</v>
      </c>
      <c r="B116" s="210" t="s">
        <v>372</v>
      </c>
      <c r="C116" s="150" t="s">
        <v>434</v>
      </c>
      <c r="D116" s="150" t="s">
        <v>405</v>
      </c>
      <c r="E116" s="147" t="s">
        <v>1773</v>
      </c>
      <c r="F116" s="147" t="s">
        <v>1126</v>
      </c>
      <c r="G116" s="158">
        <v>1000</v>
      </c>
    </row>
    <row r="117" spans="1:7" ht="24">
      <c r="A117" s="327" t="s">
        <v>1261</v>
      </c>
      <c r="B117" s="210" t="s">
        <v>372</v>
      </c>
      <c r="C117" s="150" t="s">
        <v>434</v>
      </c>
      <c r="D117" s="150" t="s">
        <v>405</v>
      </c>
      <c r="E117" s="147" t="s">
        <v>1262</v>
      </c>
      <c r="F117" s="147"/>
      <c r="G117" s="325">
        <f>G118</f>
        <v>18332</v>
      </c>
    </row>
    <row r="118" spans="1:7" ht="24">
      <c r="A118" s="153" t="s">
        <v>974</v>
      </c>
      <c r="B118" s="210" t="s">
        <v>372</v>
      </c>
      <c r="C118" s="150" t="s">
        <v>434</v>
      </c>
      <c r="D118" s="150" t="s">
        <v>405</v>
      </c>
      <c r="E118" s="147" t="s">
        <v>1262</v>
      </c>
      <c r="F118" s="147" t="s">
        <v>529</v>
      </c>
      <c r="G118" s="325">
        <f>G119</f>
        <v>18332</v>
      </c>
    </row>
    <row r="119" spans="1:7" ht="24">
      <c r="A119" s="153" t="s">
        <v>931</v>
      </c>
      <c r="B119" s="210" t="s">
        <v>372</v>
      </c>
      <c r="C119" s="150" t="s">
        <v>434</v>
      </c>
      <c r="D119" s="150" t="s">
        <v>405</v>
      </c>
      <c r="E119" s="147" t="s">
        <v>1262</v>
      </c>
      <c r="F119" s="147" t="s">
        <v>429</v>
      </c>
      <c r="G119" s="158">
        <f>18332</f>
        <v>18332</v>
      </c>
    </row>
    <row r="120" spans="1:7" ht="36">
      <c r="A120" s="327" t="s">
        <v>1774</v>
      </c>
      <c r="B120" s="210" t="s">
        <v>372</v>
      </c>
      <c r="C120" s="150" t="s">
        <v>808</v>
      </c>
      <c r="D120" s="150" t="s">
        <v>405</v>
      </c>
      <c r="E120" s="147" t="s">
        <v>1797</v>
      </c>
      <c r="F120" s="147"/>
      <c r="G120" s="325">
        <f>G121</f>
        <v>10492</v>
      </c>
    </row>
    <row r="121" spans="1:7" ht="24">
      <c r="A121" s="153" t="s">
        <v>974</v>
      </c>
      <c r="B121" s="210" t="s">
        <v>372</v>
      </c>
      <c r="C121" s="150" t="s">
        <v>808</v>
      </c>
      <c r="D121" s="150" t="s">
        <v>405</v>
      </c>
      <c r="E121" s="147" t="s">
        <v>1797</v>
      </c>
      <c r="F121" s="147" t="s">
        <v>529</v>
      </c>
      <c r="G121" s="325">
        <f>G122</f>
        <v>10492</v>
      </c>
    </row>
    <row r="122" spans="1:7" ht="24">
      <c r="A122" s="153" t="s">
        <v>931</v>
      </c>
      <c r="B122" s="210" t="s">
        <v>372</v>
      </c>
      <c r="C122" s="150" t="s">
        <v>808</v>
      </c>
      <c r="D122" s="150" t="s">
        <v>405</v>
      </c>
      <c r="E122" s="147" t="s">
        <v>1797</v>
      </c>
      <c r="F122" s="147" t="s">
        <v>429</v>
      </c>
      <c r="G122" s="158">
        <v>10492</v>
      </c>
    </row>
    <row r="123" spans="1:7" ht="24">
      <c r="A123" s="179" t="s">
        <v>1189</v>
      </c>
      <c r="B123" s="210" t="s">
        <v>372</v>
      </c>
      <c r="C123" s="150" t="s">
        <v>434</v>
      </c>
      <c r="D123" s="150" t="s">
        <v>405</v>
      </c>
      <c r="E123" s="147" t="s">
        <v>669</v>
      </c>
      <c r="F123" s="150"/>
      <c r="G123" s="279">
        <f>G124</f>
        <v>16801.1</v>
      </c>
    </row>
    <row r="124" spans="1:7" ht="24">
      <c r="A124" s="152" t="s">
        <v>490</v>
      </c>
      <c r="B124" s="210" t="s">
        <v>372</v>
      </c>
      <c r="C124" s="150" t="s">
        <v>434</v>
      </c>
      <c r="D124" s="150" t="s">
        <v>405</v>
      </c>
      <c r="E124" s="147" t="s">
        <v>669</v>
      </c>
      <c r="F124" s="150" t="s">
        <v>489</v>
      </c>
      <c r="G124" s="279">
        <f>G125</f>
        <v>16801.1</v>
      </c>
    </row>
    <row r="125" spans="1:7" ht="24">
      <c r="A125" s="157" t="s">
        <v>1125</v>
      </c>
      <c r="B125" s="210" t="s">
        <v>372</v>
      </c>
      <c r="C125" s="150" t="s">
        <v>434</v>
      </c>
      <c r="D125" s="150" t="s">
        <v>405</v>
      </c>
      <c r="E125" s="147" t="s">
        <v>669</v>
      </c>
      <c r="F125" s="150" t="s">
        <v>1126</v>
      </c>
      <c r="G125" s="279">
        <f>G126+G127+G128+G129+G130+G131+G132+G133+G134+G135+G136+G137</f>
        <v>16801.1</v>
      </c>
    </row>
    <row r="126" spans="1:7" ht="36">
      <c r="A126" s="157" t="s">
        <v>1566</v>
      </c>
      <c r="B126" s="210" t="s">
        <v>372</v>
      </c>
      <c r="C126" s="150" t="s">
        <v>434</v>
      </c>
      <c r="D126" s="150" t="s">
        <v>405</v>
      </c>
      <c r="E126" s="147" t="s">
        <v>669</v>
      </c>
      <c r="F126" s="150" t="s">
        <v>1126</v>
      </c>
      <c r="G126" s="158">
        <f>300-300</f>
        <v>0</v>
      </c>
    </row>
    <row r="127" spans="1:7" ht="24">
      <c r="A127" s="157" t="s">
        <v>1567</v>
      </c>
      <c r="B127" s="210" t="s">
        <v>372</v>
      </c>
      <c r="C127" s="150" t="s">
        <v>434</v>
      </c>
      <c r="D127" s="150" t="s">
        <v>405</v>
      </c>
      <c r="E127" s="147" t="s">
        <v>669</v>
      </c>
      <c r="F127" s="150" t="s">
        <v>1126</v>
      </c>
      <c r="G127" s="158">
        <v>180</v>
      </c>
    </row>
    <row r="128" spans="1:7" ht="36">
      <c r="A128" s="157" t="s">
        <v>1611</v>
      </c>
      <c r="B128" s="210" t="s">
        <v>372</v>
      </c>
      <c r="C128" s="150" t="s">
        <v>434</v>
      </c>
      <c r="D128" s="150" t="s">
        <v>405</v>
      </c>
      <c r="E128" s="147" t="s">
        <v>669</v>
      </c>
      <c r="F128" s="150" t="s">
        <v>1126</v>
      </c>
      <c r="G128" s="158">
        <v>1150</v>
      </c>
    </row>
    <row r="129" spans="1:7" ht="36">
      <c r="A129" s="157" t="s">
        <v>1676</v>
      </c>
      <c r="B129" s="210" t="s">
        <v>372</v>
      </c>
      <c r="C129" s="150" t="s">
        <v>434</v>
      </c>
      <c r="D129" s="150" t="s">
        <v>405</v>
      </c>
      <c r="E129" s="147" t="s">
        <v>669</v>
      </c>
      <c r="F129" s="150" t="s">
        <v>1126</v>
      </c>
      <c r="G129" s="158">
        <v>4000</v>
      </c>
    </row>
    <row r="130" spans="1:7" ht="24">
      <c r="A130" s="157" t="s">
        <v>1612</v>
      </c>
      <c r="B130" s="210" t="s">
        <v>372</v>
      </c>
      <c r="C130" s="150" t="s">
        <v>434</v>
      </c>
      <c r="D130" s="150" t="s">
        <v>405</v>
      </c>
      <c r="E130" s="147" t="s">
        <v>669</v>
      </c>
      <c r="F130" s="150" t="s">
        <v>1126</v>
      </c>
      <c r="G130" s="158">
        <v>30</v>
      </c>
    </row>
    <row r="131" spans="1:7" ht="24">
      <c r="A131" s="157" t="s">
        <v>1677</v>
      </c>
      <c r="B131" s="210" t="s">
        <v>372</v>
      </c>
      <c r="C131" s="150" t="s">
        <v>434</v>
      </c>
      <c r="D131" s="150" t="s">
        <v>405</v>
      </c>
      <c r="E131" s="147" t="s">
        <v>669</v>
      </c>
      <c r="F131" s="150" t="s">
        <v>1126</v>
      </c>
      <c r="G131" s="158">
        <v>195</v>
      </c>
    </row>
    <row r="132" spans="1:7" ht="36">
      <c r="A132" s="157" t="s">
        <v>1678</v>
      </c>
      <c r="B132" s="210" t="s">
        <v>372</v>
      </c>
      <c r="C132" s="150" t="s">
        <v>434</v>
      </c>
      <c r="D132" s="150" t="s">
        <v>405</v>
      </c>
      <c r="E132" s="147" t="s">
        <v>669</v>
      </c>
      <c r="F132" s="150" t="s">
        <v>1126</v>
      </c>
      <c r="G132" s="158">
        <v>10794.1</v>
      </c>
    </row>
    <row r="133" spans="1:7" ht="48">
      <c r="A133" s="157" t="s">
        <v>1679</v>
      </c>
      <c r="B133" s="210" t="s">
        <v>372</v>
      </c>
      <c r="C133" s="150" t="s">
        <v>434</v>
      </c>
      <c r="D133" s="150" t="s">
        <v>405</v>
      </c>
      <c r="E133" s="147" t="s">
        <v>669</v>
      </c>
      <c r="F133" s="150" t="s">
        <v>1126</v>
      </c>
      <c r="G133" s="158">
        <f>50-50</f>
        <v>0</v>
      </c>
    </row>
    <row r="134" spans="1:7" ht="24">
      <c r="A134" s="157" t="s">
        <v>1680</v>
      </c>
      <c r="B134" s="210" t="s">
        <v>372</v>
      </c>
      <c r="C134" s="150" t="s">
        <v>434</v>
      </c>
      <c r="D134" s="150" t="s">
        <v>405</v>
      </c>
      <c r="E134" s="147" t="s">
        <v>669</v>
      </c>
      <c r="F134" s="150" t="s">
        <v>1126</v>
      </c>
      <c r="G134" s="158">
        <v>15</v>
      </c>
    </row>
    <row r="135" spans="1:7" ht="24">
      <c r="A135" s="157" t="s">
        <v>1742</v>
      </c>
      <c r="B135" s="210" t="s">
        <v>372</v>
      </c>
      <c r="C135" s="150" t="s">
        <v>434</v>
      </c>
      <c r="D135" s="150" t="s">
        <v>405</v>
      </c>
      <c r="E135" s="147" t="s">
        <v>669</v>
      </c>
      <c r="F135" s="150" t="s">
        <v>1126</v>
      </c>
      <c r="G135" s="158">
        <v>370</v>
      </c>
    </row>
    <row r="136" spans="1:7" ht="21" customHeight="1">
      <c r="A136" s="157" t="s">
        <v>1743</v>
      </c>
      <c r="B136" s="210" t="s">
        <v>372</v>
      </c>
      <c r="C136" s="150" t="s">
        <v>434</v>
      </c>
      <c r="D136" s="150" t="s">
        <v>405</v>
      </c>
      <c r="E136" s="147" t="s">
        <v>669</v>
      </c>
      <c r="F136" s="150" t="s">
        <v>1126</v>
      </c>
      <c r="G136" s="158">
        <v>23</v>
      </c>
    </row>
    <row r="137" spans="1:7" ht="21" customHeight="1">
      <c r="A137" s="157" t="s">
        <v>1744</v>
      </c>
      <c r="B137" s="210" t="s">
        <v>372</v>
      </c>
      <c r="C137" s="150" t="s">
        <v>434</v>
      </c>
      <c r="D137" s="150" t="s">
        <v>405</v>
      </c>
      <c r="E137" s="147" t="s">
        <v>669</v>
      </c>
      <c r="F137" s="150" t="s">
        <v>1126</v>
      </c>
      <c r="G137" s="158">
        <v>44</v>
      </c>
    </row>
    <row r="138" spans="1:7" ht="21" customHeight="1">
      <c r="A138" s="157" t="s">
        <v>1806</v>
      </c>
      <c r="B138" s="210" t="s">
        <v>372</v>
      </c>
      <c r="C138" s="150" t="s">
        <v>434</v>
      </c>
      <c r="D138" s="150" t="s">
        <v>405</v>
      </c>
      <c r="E138" s="147" t="s">
        <v>1805</v>
      </c>
      <c r="F138" s="150"/>
      <c r="G138" s="325">
        <f>G139</f>
        <v>50</v>
      </c>
    </row>
    <row r="139" spans="1:7" ht="21" customHeight="1">
      <c r="A139" s="152" t="s">
        <v>490</v>
      </c>
      <c r="B139" s="210" t="s">
        <v>372</v>
      </c>
      <c r="C139" s="150" t="s">
        <v>434</v>
      </c>
      <c r="D139" s="150" t="s">
        <v>405</v>
      </c>
      <c r="E139" s="147" t="s">
        <v>1805</v>
      </c>
      <c r="F139" s="150" t="s">
        <v>489</v>
      </c>
      <c r="G139" s="325">
        <f>G140</f>
        <v>50</v>
      </c>
    </row>
    <row r="140" spans="1:7" ht="21" customHeight="1">
      <c r="A140" s="157" t="s">
        <v>1125</v>
      </c>
      <c r="B140" s="210" t="s">
        <v>372</v>
      </c>
      <c r="C140" s="150" t="s">
        <v>434</v>
      </c>
      <c r="D140" s="150" t="s">
        <v>405</v>
      </c>
      <c r="E140" s="147" t="s">
        <v>1805</v>
      </c>
      <c r="F140" s="150" t="s">
        <v>1126</v>
      </c>
      <c r="G140" s="325">
        <f>G141</f>
        <v>50</v>
      </c>
    </row>
    <row r="141" spans="1:7" ht="21" customHeight="1">
      <c r="A141" s="157" t="s">
        <v>1679</v>
      </c>
      <c r="B141" s="210" t="s">
        <v>372</v>
      </c>
      <c r="C141" s="150" t="s">
        <v>434</v>
      </c>
      <c r="D141" s="150" t="s">
        <v>405</v>
      </c>
      <c r="E141" s="147" t="s">
        <v>1805</v>
      </c>
      <c r="F141" s="150" t="s">
        <v>1126</v>
      </c>
      <c r="G141" s="158">
        <v>50</v>
      </c>
    </row>
    <row r="142" spans="1:17" ht="36">
      <c r="A142" s="157" t="s">
        <v>1425</v>
      </c>
      <c r="B142" s="210" t="s">
        <v>372</v>
      </c>
      <c r="C142" s="150" t="s">
        <v>434</v>
      </c>
      <c r="D142" s="150" t="s">
        <v>405</v>
      </c>
      <c r="E142" s="147" t="s">
        <v>670</v>
      </c>
      <c r="F142" s="150"/>
      <c r="G142" s="155">
        <f>G143+G146</f>
        <v>15981</v>
      </c>
      <c r="H142" s="30"/>
      <c r="I142" s="30"/>
      <c r="J142" s="30"/>
      <c r="K142" s="10"/>
      <c r="L142" s="10"/>
      <c r="M142" s="10"/>
      <c r="N142" s="10"/>
      <c r="O142" s="10"/>
      <c r="P142" s="10"/>
      <c r="Q142" s="10"/>
    </row>
    <row r="143" spans="1:17" ht="60">
      <c r="A143" s="157" t="s">
        <v>188</v>
      </c>
      <c r="B143" s="210" t="s">
        <v>372</v>
      </c>
      <c r="C143" s="147" t="s">
        <v>434</v>
      </c>
      <c r="D143" s="147" t="s">
        <v>405</v>
      </c>
      <c r="E143" s="147" t="s">
        <v>1426</v>
      </c>
      <c r="F143" s="147"/>
      <c r="G143" s="155">
        <f>G144</f>
        <v>0</v>
      </c>
      <c r="H143" s="30"/>
      <c r="I143" s="30"/>
      <c r="J143" s="30"/>
      <c r="K143" s="10"/>
      <c r="L143" s="10"/>
      <c r="M143" s="10"/>
      <c r="N143" s="10"/>
      <c r="O143" s="10"/>
      <c r="P143" s="10"/>
      <c r="Q143" s="10"/>
    </row>
    <row r="144" spans="1:17" ht="24">
      <c r="A144" s="152" t="s">
        <v>490</v>
      </c>
      <c r="B144" s="210" t="s">
        <v>372</v>
      </c>
      <c r="C144" s="147" t="s">
        <v>434</v>
      </c>
      <c r="D144" s="147" t="s">
        <v>405</v>
      </c>
      <c r="E144" s="147" t="s">
        <v>1426</v>
      </c>
      <c r="F144" s="147" t="s">
        <v>489</v>
      </c>
      <c r="G144" s="155">
        <f>G145</f>
        <v>0</v>
      </c>
      <c r="J144" s="10"/>
      <c r="K144" s="10"/>
      <c r="L144" s="10"/>
      <c r="M144" s="10"/>
      <c r="N144" s="10"/>
      <c r="O144" s="10"/>
      <c r="P144" s="10"/>
      <c r="Q144" s="10"/>
    </row>
    <row r="145" spans="1:17" ht="24">
      <c r="A145" s="157" t="s">
        <v>573</v>
      </c>
      <c r="B145" s="210" t="s">
        <v>372</v>
      </c>
      <c r="C145" s="147" t="s">
        <v>434</v>
      </c>
      <c r="D145" s="147" t="s">
        <v>405</v>
      </c>
      <c r="E145" s="147" t="s">
        <v>1426</v>
      </c>
      <c r="F145" s="147" t="s">
        <v>574</v>
      </c>
      <c r="G145" s="158">
        <f>3032-976-1866-190</f>
        <v>0</v>
      </c>
      <c r="H145" s="30"/>
      <c r="I145" s="30"/>
      <c r="J145" s="30"/>
      <c r="K145" s="10"/>
      <c r="L145" s="10"/>
      <c r="M145" s="10"/>
      <c r="N145" s="10"/>
      <c r="O145" s="10"/>
      <c r="P145" s="10"/>
      <c r="Q145" s="10"/>
    </row>
    <row r="146" spans="1:17" ht="36">
      <c r="A146" s="157" t="s">
        <v>1318</v>
      </c>
      <c r="B146" s="210" t="s">
        <v>372</v>
      </c>
      <c r="C146" s="150" t="s">
        <v>434</v>
      </c>
      <c r="D146" s="150" t="s">
        <v>405</v>
      </c>
      <c r="E146" s="147" t="s">
        <v>1427</v>
      </c>
      <c r="F146" s="150"/>
      <c r="G146" s="155">
        <f>G147</f>
        <v>15981</v>
      </c>
      <c r="J146" s="10"/>
      <c r="K146" s="10"/>
      <c r="L146" s="10"/>
      <c r="M146" s="10"/>
      <c r="N146" s="10"/>
      <c r="O146" s="10"/>
      <c r="P146" s="10"/>
      <c r="Q146" s="10"/>
    </row>
    <row r="147" spans="1:17" ht="24">
      <c r="A147" s="152" t="s">
        <v>490</v>
      </c>
      <c r="B147" s="210" t="s">
        <v>372</v>
      </c>
      <c r="C147" s="150" t="s">
        <v>434</v>
      </c>
      <c r="D147" s="150" t="s">
        <v>405</v>
      </c>
      <c r="E147" s="147" t="s">
        <v>1427</v>
      </c>
      <c r="F147" s="150" t="s">
        <v>489</v>
      </c>
      <c r="G147" s="155">
        <f>G148</f>
        <v>15981</v>
      </c>
      <c r="H147" s="30"/>
      <c r="I147" s="30"/>
      <c r="J147" s="30"/>
      <c r="K147" s="10"/>
      <c r="L147" s="10"/>
      <c r="M147" s="10"/>
      <c r="N147" s="10"/>
      <c r="O147" s="10"/>
      <c r="P147" s="10"/>
      <c r="Q147" s="10"/>
    </row>
    <row r="148" spans="1:17" ht="24">
      <c r="A148" s="157" t="s">
        <v>371</v>
      </c>
      <c r="B148" s="210" t="s">
        <v>372</v>
      </c>
      <c r="C148" s="150" t="s">
        <v>434</v>
      </c>
      <c r="D148" s="150" t="s">
        <v>405</v>
      </c>
      <c r="E148" s="147" t="s">
        <v>1427</v>
      </c>
      <c r="F148" s="150" t="s">
        <v>574</v>
      </c>
      <c r="G148" s="158">
        <f>13466+2615-1000+1300-400</f>
        <v>15981</v>
      </c>
      <c r="H148" s="30"/>
      <c r="I148" s="30"/>
      <c r="J148" s="30"/>
      <c r="K148" s="10"/>
      <c r="L148" s="10"/>
      <c r="M148" s="10"/>
      <c r="N148" s="10"/>
      <c r="O148" s="10"/>
      <c r="P148" s="10"/>
      <c r="Q148" s="10"/>
    </row>
    <row r="149" spans="1:17" ht="24">
      <c r="A149" s="152" t="s">
        <v>1746</v>
      </c>
      <c r="B149" s="210" t="s">
        <v>372</v>
      </c>
      <c r="C149" s="147" t="s">
        <v>434</v>
      </c>
      <c r="D149" s="147" t="s">
        <v>405</v>
      </c>
      <c r="E149" s="147" t="s">
        <v>643</v>
      </c>
      <c r="F149" s="147"/>
      <c r="G149" s="155">
        <f>G150+G155+G159</f>
        <v>250</v>
      </c>
      <c r="H149" s="30"/>
      <c r="I149" s="30"/>
      <c r="J149" s="30"/>
      <c r="K149" s="10"/>
      <c r="L149" s="10"/>
      <c r="M149" s="10"/>
      <c r="N149" s="10"/>
      <c r="O149" s="10"/>
      <c r="P149" s="10"/>
      <c r="Q149" s="10"/>
    </row>
    <row r="150" spans="1:17" ht="60">
      <c r="A150" s="157" t="s">
        <v>540</v>
      </c>
      <c r="B150" s="210" t="s">
        <v>372</v>
      </c>
      <c r="C150" s="147" t="s">
        <v>434</v>
      </c>
      <c r="D150" s="147" t="s">
        <v>405</v>
      </c>
      <c r="E150" s="147" t="s">
        <v>642</v>
      </c>
      <c r="F150" s="147"/>
      <c r="G150" s="155">
        <f>G151</f>
        <v>0</v>
      </c>
      <c r="H150" s="30"/>
      <c r="I150" s="30"/>
      <c r="J150" s="30"/>
      <c r="K150" s="10"/>
      <c r="L150" s="10"/>
      <c r="M150" s="10"/>
      <c r="N150" s="10"/>
      <c r="O150" s="10"/>
      <c r="P150" s="10"/>
      <c r="Q150" s="10"/>
    </row>
    <row r="151" spans="1:17" ht="24">
      <c r="A151" s="157" t="s">
        <v>641</v>
      </c>
      <c r="B151" s="210" t="s">
        <v>372</v>
      </c>
      <c r="C151" s="147" t="s">
        <v>434</v>
      </c>
      <c r="D151" s="147" t="s">
        <v>405</v>
      </c>
      <c r="E151" s="147" t="s">
        <v>644</v>
      </c>
      <c r="F151" s="147"/>
      <c r="G151" s="155">
        <f>G152</f>
        <v>0</v>
      </c>
      <c r="H151" s="30"/>
      <c r="I151" s="30"/>
      <c r="J151" s="30"/>
      <c r="K151" s="10"/>
      <c r="L151" s="10"/>
      <c r="M151" s="10"/>
      <c r="N151" s="10"/>
      <c r="O151" s="10"/>
      <c r="P151" s="10"/>
      <c r="Q151" s="10"/>
    </row>
    <row r="152" spans="1:17" ht="24">
      <c r="A152" s="152" t="s">
        <v>490</v>
      </c>
      <c r="B152" s="210" t="s">
        <v>372</v>
      </c>
      <c r="C152" s="150" t="s">
        <v>434</v>
      </c>
      <c r="D152" s="150" t="s">
        <v>405</v>
      </c>
      <c r="E152" s="147" t="s">
        <v>644</v>
      </c>
      <c r="F152" s="150" t="s">
        <v>489</v>
      </c>
      <c r="G152" s="155">
        <f>G153+G154</f>
        <v>0</v>
      </c>
      <c r="H152" s="30"/>
      <c r="I152" s="30"/>
      <c r="J152" s="30"/>
      <c r="K152" s="10"/>
      <c r="L152" s="10"/>
      <c r="M152" s="10"/>
      <c r="N152" s="10"/>
      <c r="O152" s="10"/>
      <c r="P152" s="10"/>
      <c r="Q152" s="10"/>
    </row>
    <row r="153" spans="1:17" ht="24">
      <c r="A153" s="157" t="s">
        <v>371</v>
      </c>
      <c r="B153" s="210" t="s">
        <v>372</v>
      </c>
      <c r="C153" s="150" t="s">
        <v>434</v>
      </c>
      <c r="D153" s="150" t="s">
        <v>405</v>
      </c>
      <c r="E153" s="147" t="s">
        <v>644</v>
      </c>
      <c r="F153" s="150" t="s">
        <v>574</v>
      </c>
      <c r="G153" s="155">
        <f>87460-87431-29</f>
        <v>0</v>
      </c>
      <c r="H153" s="30"/>
      <c r="I153" s="30"/>
      <c r="J153" s="30"/>
      <c r="K153" s="10"/>
      <c r="L153" s="10"/>
      <c r="M153" s="10"/>
      <c r="N153" s="10"/>
      <c r="O153" s="10"/>
      <c r="P153" s="10"/>
      <c r="Q153" s="10"/>
    </row>
    <row r="154" spans="1:17" ht="24">
      <c r="A154" s="157" t="s">
        <v>1125</v>
      </c>
      <c r="B154" s="210" t="s">
        <v>372</v>
      </c>
      <c r="C154" s="150" t="s">
        <v>434</v>
      </c>
      <c r="D154" s="150" t="s">
        <v>405</v>
      </c>
      <c r="E154" s="147" t="s">
        <v>644</v>
      </c>
      <c r="F154" s="150" t="s">
        <v>1126</v>
      </c>
      <c r="G154" s="155">
        <f>28572-28572</f>
        <v>0</v>
      </c>
      <c r="H154" s="30"/>
      <c r="I154" s="30"/>
      <c r="J154" s="30"/>
      <c r="K154" s="10"/>
      <c r="L154" s="10"/>
      <c r="M154" s="10"/>
      <c r="N154" s="10"/>
      <c r="O154" s="10"/>
      <c r="P154" s="10"/>
      <c r="Q154" s="10"/>
    </row>
    <row r="155" spans="1:17" ht="36">
      <c r="A155" s="157" t="s">
        <v>645</v>
      </c>
      <c r="B155" s="210" t="s">
        <v>372</v>
      </c>
      <c r="C155" s="150" t="s">
        <v>434</v>
      </c>
      <c r="D155" s="150" t="s">
        <v>405</v>
      </c>
      <c r="E155" s="147" t="s">
        <v>1428</v>
      </c>
      <c r="F155" s="150"/>
      <c r="G155" s="155">
        <f>G156</f>
        <v>0</v>
      </c>
      <c r="H155" s="30"/>
      <c r="I155" s="30"/>
      <c r="J155" s="30"/>
      <c r="K155" s="10"/>
      <c r="L155" s="10"/>
      <c r="M155" s="10"/>
      <c r="N155" s="10"/>
      <c r="O155" s="10"/>
      <c r="P155" s="10"/>
      <c r="Q155" s="10"/>
    </row>
    <row r="156" spans="1:17" ht="36">
      <c r="A156" s="157" t="s">
        <v>646</v>
      </c>
      <c r="B156" s="210" t="s">
        <v>372</v>
      </c>
      <c r="C156" s="150" t="s">
        <v>434</v>
      </c>
      <c r="D156" s="150" t="s">
        <v>405</v>
      </c>
      <c r="E156" s="147" t="s">
        <v>1429</v>
      </c>
      <c r="F156" s="150"/>
      <c r="G156" s="155">
        <f>G157</f>
        <v>0</v>
      </c>
      <c r="H156" s="30"/>
      <c r="I156" s="30"/>
      <c r="J156" s="30"/>
      <c r="K156" s="10"/>
      <c r="L156" s="10"/>
      <c r="M156" s="10"/>
      <c r="N156" s="10"/>
      <c r="O156" s="10"/>
      <c r="P156" s="10"/>
      <c r="Q156" s="10"/>
    </row>
    <row r="157" spans="1:17" ht="24">
      <c r="A157" s="152" t="s">
        <v>490</v>
      </c>
      <c r="B157" s="210" t="s">
        <v>372</v>
      </c>
      <c r="C157" s="150" t="s">
        <v>434</v>
      </c>
      <c r="D157" s="150" t="s">
        <v>405</v>
      </c>
      <c r="E157" s="147" t="s">
        <v>1429</v>
      </c>
      <c r="F157" s="150" t="s">
        <v>489</v>
      </c>
      <c r="G157" s="155">
        <f>G158</f>
        <v>0</v>
      </c>
      <c r="H157" s="30"/>
      <c r="I157" s="30"/>
      <c r="J157" s="30"/>
      <c r="K157" s="10"/>
      <c r="L157" s="10"/>
      <c r="M157" s="10"/>
      <c r="N157" s="10"/>
      <c r="O157" s="10"/>
      <c r="P157" s="10"/>
      <c r="Q157" s="10"/>
    </row>
    <row r="158" spans="1:17" ht="24">
      <c r="A158" s="157" t="s">
        <v>573</v>
      </c>
      <c r="B158" s="210" t="s">
        <v>372</v>
      </c>
      <c r="C158" s="150" t="s">
        <v>434</v>
      </c>
      <c r="D158" s="150" t="s">
        <v>405</v>
      </c>
      <c r="E158" s="147" t="s">
        <v>1429</v>
      </c>
      <c r="F158" s="150" t="s">
        <v>574</v>
      </c>
      <c r="G158" s="158">
        <f>26863-13000-13797-66</f>
        <v>0</v>
      </c>
      <c r="H158" s="30"/>
      <c r="I158" s="30"/>
      <c r="J158" s="30"/>
      <c r="K158" s="10"/>
      <c r="L158" s="10"/>
      <c r="M158" s="10"/>
      <c r="N158" s="10"/>
      <c r="O158" s="10"/>
      <c r="P158" s="10"/>
      <c r="Q158" s="10"/>
    </row>
    <row r="159" spans="1:17" ht="36">
      <c r="A159" s="157" t="s">
        <v>312</v>
      </c>
      <c r="B159" s="210" t="s">
        <v>372</v>
      </c>
      <c r="C159" s="150" t="s">
        <v>434</v>
      </c>
      <c r="D159" s="150" t="s">
        <v>405</v>
      </c>
      <c r="E159" s="150" t="s">
        <v>1430</v>
      </c>
      <c r="F159" s="150"/>
      <c r="G159" s="155">
        <f>G160</f>
        <v>250</v>
      </c>
      <c r="H159" s="30"/>
      <c r="I159" s="30"/>
      <c r="J159" s="30"/>
      <c r="K159" s="10"/>
      <c r="L159" s="10"/>
      <c r="M159" s="10"/>
      <c r="N159" s="10"/>
      <c r="O159" s="10"/>
      <c r="P159" s="10"/>
      <c r="Q159" s="10"/>
    </row>
    <row r="160" spans="1:17" ht="24">
      <c r="A160" s="179" t="s">
        <v>1189</v>
      </c>
      <c r="B160" s="210" t="s">
        <v>372</v>
      </c>
      <c r="C160" s="150" t="s">
        <v>434</v>
      </c>
      <c r="D160" s="150" t="s">
        <v>405</v>
      </c>
      <c r="E160" s="150" t="s">
        <v>1431</v>
      </c>
      <c r="F160" s="150"/>
      <c r="G160" s="155">
        <f>G161</f>
        <v>250</v>
      </c>
      <c r="H160" s="30"/>
      <c r="I160" s="30"/>
      <c r="J160" s="30"/>
      <c r="K160" s="10"/>
      <c r="L160" s="10"/>
      <c r="M160" s="10"/>
      <c r="N160" s="10"/>
      <c r="O160" s="10"/>
      <c r="P160" s="10"/>
      <c r="Q160" s="10"/>
    </row>
    <row r="161" spans="1:17" ht="24">
      <c r="A161" s="152" t="s">
        <v>490</v>
      </c>
      <c r="B161" s="210" t="s">
        <v>372</v>
      </c>
      <c r="C161" s="150" t="s">
        <v>434</v>
      </c>
      <c r="D161" s="150" t="s">
        <v>405</v>
      </c>
      <c r="E161" s="150" t="s">
        <v>1431</v>
      </c>
      <c r="F161" s="150" t="s">
        <v>489</v>
      </c>
      <c r="G161" s="155">
        <f>G162+G163</f>
        <v>250</v>
      </c>
      <c r="H161" s="30"/>
      <c r="I161" s="30"/>
      <c r="J161" s="30"/>
      <c r="K161" s="10"/>
      <c r="L161" s="10"/>
      <c r="M161" s="10"/>
      <c r="N161" s="10"/>
      <c r="O161" s="10"/>
      <c r="P161" s="10"/>
      <c r="Q161" s="10"/>
    </row>
    <row r="162" spans="1:17" ht="24">
      <c r="A162" s="157" t="s">
        <v>573</v>
      </c>
      <c r="B162" s="210" t="s">
        <v>372</v>
      </c>
      <c r="C162" s="150" t="s">
        <v>434</v>
      </c>
      <c r="D162" s="150" t="s">
        <v>405</v>
      </c>
      <c r="E162" s="150" t="s">
        <v>1431</v>
      </c>
      <c r="F162" s="150" t="s">
        <v>1126</v>
      </c>
      <c r="G162" s="158">
        <f>250-250+250</f>
        <v>250</v>
      </c>
      <c r="H162" s="30"/>
      <c r="I162" s="30"/>
      <c r="J162" s="30"/>
      <c r="K162" s="10"/>
      <c r="L162" s="10"/>
      <c r="M162" s="10"/>
      <c r="N162" s="10"/>
      <c r="O162" s="10"/>
      <c r="P162" s="10"/>
      <c r="Q162" s="10"/>
    </row>
    <row r="163" spans="1:17" ht="24">
      <c r="A163" s="157" t="s">
        <v>1049</v>
      </c>
      <c r="B163" s="210" t="s">
        <v>372</v>
      </c>
      <c r="C163" s="150" t="s">
        <v>434</v>
      </c>
      <c r="D163" s="150" t="s">
        <v>405</v>
      </c>
      <c r="E163" s="150" t="s">
        <v>1431</v>
      </c>
      <c r="F163" s="150" t="s">
        <v>1126</v>
      </c>
      <c r="G163" s="158">
        <f>250-250</f>
        <v>0</v>
      </c>
      <c r="H163" s="30"/>
      <c r="I163" s="30"/>
      <c r="J163" s="30"/>
      <c r="K163" s="10"/>
      <c r="L163" s="10"/>
      <c r="M163" s="10"/>
      <c r="N163" s="10"/>
      <c r="O163" s="10"/>
      <c r="P163" s="10"/>
      <c r="Q163" s="10"/>
    </row>
    <row r="164" spans="1:17" ht="24">
      <c r="A164" s="157" t="s">
        <v>1078</v>
      </c>
      <c r="B164" s="210" t="s">
        <v>372</v>
      </c>
      <c r="C164" s="150" t="s">
        <v>434</v>
      </c>
      <c r="D164" s="150" t="s">
        <v>405</v>
      </c>
      <c r="E164" s="150" t="s">
        <v>1079</v>
      </c>
      <c r="F164" s="150"/>
      <c r="G164" s="279">
        <f>G165</f>
        <v>7708</v>
      </c>
      <c r="H164" s="30"/>
      <c r="I164" s="30"/>
      <c r="J164" s="30"/>
      <c r="K164" s="10"/>
      <c r="L164" s="10"/>
      <c r="M164" s="10"/>
      <c r="N164" s="10"/>
      <c r="O164" s="10"/>
      <c r="P164" s="10"/>
      <c r="Q164" s="10"/>
    </row>
    <row r="165" spans="1:17" ht="24">
      <c r="A165" s="152" t="s">
        <v>490</v>
      </c>
      <c r="B165" s="210" t="s">
        <v>372</v>
      </c>
      <c r="C165" s="150" t="s">
        <v>434</v>
      </c>
      <c r="D165" s="150" t="s">
        <v>405</v>
      </c>
      <c r="E165" s="150" t="s">
        <v>1079</v>
      </c>
      <c r="F165" s="150" t="s">
        <v>489</v>
      </c>
      <c r="G165" s="279">
        <f>G166+G168</f>
        <v>7708</v>
      </c>
      <c r="H165" s="30"/>
      <c r="I165" s="30"/>
      <c r="J165" s="30"/>
      <c r="K165" s="10"/>
      <c r="L165" s="10"/>
      <c r="M165" s="10"/>
      <c r="N165" s="10"/>
      <c r="O165" s="10"/>
      <c r="P165" s="10"/>
      <c r="Q165" s="10"/>
    </row>
    <row r="166" spans="1:17" ht="24">
      <c r="A166" s="157" t="s">
        <v>896</v>
      </c>
      <c r="B166" s="210" t="s">
        <v>372</v>
      </c>
      <c r="C166" s="150" t="s">
        <v>434</v>
      </c>
      <c r="D166" s="150" t="s">
        <v>405</v>
      </c>
      <c r="E166" s="150" t="s">
        <v>1079</v>
      </c>
      <c r="F166" s="150" t="s">
        <v>574</v>
      </c>
      <c r="G166" s="279">
        <f>G167</f>
        <v>1220</v>
      </c>
      <c r="H166" s="30"/>
      <c r="I166" s="30"/>
      <c r="J166" s="30"/>
      <c r="K166" s="10"/>
      <c r="L166" s="10"/>
      <c r="M166" s="10"/>
      <c r="N166" s="10"/>
      <c r="O166" s="10"/>
      <c r="P166" s="10"/>
      <c r="Q166" s="10"/>
    </row>
    <row r="167" spans="1:17" ht="72">
      <c r="A167" s="157" t="s">
        <v>1681</v>
      </c>
      <c r="B167" s="210" t="s">
        <v>372</v>
      </c>
      <c r="C167" s="150" t="s">
        <v>434</v>
      </c>
      <c r="D167" s="150" t="s">
        <v>405</v>
      </c>
      <c r="E167" s="150" t="s">
        <v>1079</v>
      </c>
      <c r="F167" s="150" t="s">
        <v>574</v>
      </c>
      <c r="G167" s="158">
        <v>1220</v>
      </c>
      <c r="H167" s="30"/>
      <c r="I167" s="30"/>
      <c r="J167" s="30"/>
      <c r="K167" s="10"/>
      <c r="L167" s="10"/>
      <c r="M167" s="10"/>
      <c r="N167" s="10"/>
      <c r="O167" s="10"/>
      <c r="P167" s="10"/>
      <c r="Q167" s="10"/>
    </row>
    <row r="168" spans="1:17" ht="24">
      <c r="A168" s="157" t="s">
        <v>561</v>
      </c>
      <c r="B168" s="210" t="s">
        <v>372</v>
      </c>
      <c r="C168" s="150" t="s">
        <v>434</v>
      </c>
      <c r="D168" s="150" t="s">
        <v>405</v>
      </c>
      <c r="E168" s="150" t="s">
        <v>1079</v>
      </c>
      <c r="F168" s="150" t="s">
        <v>1126</v>
      </c>
      <c r="G168" s="158">
        <f>G169+G170+G171+G172</f>
        <v>6488</v>
      </c>
      <c r="H168" s="30"/>
      <c r="I168" s="30"/>
      <c r="J168" s="30"/>
      <c r="K168" s="10"/>
      <c r="L168" s="10"/>
      <c r="M168" s="10"/>
      <c r="N168" s="10"/>
      <c r="O168" s="10"/>
      <c r="P168" s="10"/>
      <c r="Q168" s="10"/>
    </row>
    <row r="169" spans="1:17" ht="48">
      <c r="A169" s="157" t="s">
        <v>1682</v>
      </c>
      <c r="B169" s="210" t="s">
        <v>372</v>
      </c>
      <c r="C169" s="150" t="s">
        <v>434</v>
      </c>
      <c r="D169" s="150" t="s">
        <v>405</v>
      </c>
      <c r="E169" s="150" t="s">
        <v>1079</v>
      </c>
      <c r="F169" s="150" t="s">
        <v>1126</v>
      </c>
      <c r="G169" s="158">
        <v>640</v>
      </c>
      <c r="H169" s="30"/>
      <c r="I169" s="30"/>
      <c r="J169" s="30"/>
      <c r="K169" s="10"/>
      <c r="L169" s="10"/>
      <c r="M169" s="10"/>
      <c r="N169" s="10"/>
      <c r="O169" s="10"/>
      <c r="P169" s="10"/>
      <c r="Q169" s="10"/>
    </row>
    <row r="170" spans="1:17" ht="60">
      <c r="A170" s="157" t="s">
        <v>1683</v>
      </c>
      <c r="B170" s="210" t="s">
        <v>372</v>
      </c>
      <c r="C170" s="150" t="s">
        <v>434</v>
      </c>
      <c r="D170" s="150" t="s">
        <v>405</v>
      </c>
      <c r="E170" s="150" t="s">
        <v>1079</v>
      </c>
      <c r="F170" s="150" t="s">
        <v>1126</v>
      </c>
      <c r="G170" s="158">
        <v>360</v>
      </c>
      <c r="H170" s="30"/>
      <c r="I170" s="30"/>
      <c r="J170" s="30"/>
      <c r="K170" s="10"/>
      <c r="L170" s="10"/>
      <c r="M170" s="10"/>
      <c r="N170" s="10"/>
      <c r="O170" s="10"/>
      <c r="P170" s="10"/>
      <c r="Q170" s="10"/>
    </row>
    <row r="171" spans="1:17" ht="81" customHeight="1">
      <c r="A171" s="157" t="s">
        <v>1684</v>
      </c>
      <c r="B171" s="210" t="s">
        <v>372</v>
      </c>
      <c r="C171" s="150" t="s">
        <v>434</v>
      </c>
      <c r="D171" s="150" t="s">
        <v>405</v>
      </c>
      <c r="E171" s="150" t="s">
        <v>1079</v>
      </c>
      <c r="F171" s="150" t="s">
        <v>1126</v>
      </c>
      <c r="G171" s="158">
        <v>2688</v>
      </c>
      <c r="H171" s="30"/>
      <c r="I171" s="30"/>
      <c r="J171" s="30"/>
      <c r="K171" s="10"/>
      <c r="L171" s="10"/>
      <c r="M171" s="10"/>
      <c r="N171" s="10"/>
      <c r="O171" s="10"/>
      <c r="P171" s="10"/>
      <c r="Q171" s="10"/>
    </row>
    <row r="172" spans="1:17" ht="63.75" customHeight="1">
      <c r="A172" s="157" t="s">
        <v>1685</v>
      </c>
      <c r="B172" s="210" t="s">
        <v>372</v>
      </c>
      <c r="C172" s="150" t="s">
        <v>434</v>
      </c>
      <c r="D172" s="150" t="s">
        <v>405</v>
      </c>
      <c r="E172" s="150" t="s">
        <v>1079</v>
      </c>
      <c r="F172" s="150" t="s">
        <v>1126</v>
      </c>
      <c r="G172" s="158">
        <v>2800</v>
      </c>
      <c r="H172" s="30"/>
      <c r="I172" s="30"/>
      <c r="J172" s="30"/>
      <c r="K172" s="10"/>
      <c r="L172" s="10"/>
      <c r="M172" s="10"/>
      <c r="N172" s="10"/>
      <c r="O172" s="10"/>
      <c r="P172" s="10"/>
      <c r="Q172" s="10"/>
    </row>
    <row r="173" spans="1:17" ht="20.25" customHeight="1">
      <c r="A173" s="162" t="s">
        <v>1534</v>
      </c>
      <c r="B173" s="210" t="s">
        <v>372</v>
      </c>
      <c r="C173" s="150" t="s">
        <v>434</v>
      </c>
      <c r="D173" s="150" t="s">
        <v>436</v>
      </c>
      <c r="E173" s="150"/>
      <c r="F173" s="150"/>
      <c r="G173" s="279">
        <f>G174+G203</f>
        <v>149099.9</v>
      </c>
      <c r="H173" s="30"/>
      <c r="I173" s="30"/>
      <c r="J173" s="30"/>
      <c r="K173" s="10"/>
      <c r="L173" s="10"/>
      <c r="M173" s="10"/>
      <c r="N173" s="10"/>
      <c r="O173" s="10"/>
      <c r="P173" s="10"/>
      <c r="Q173" s="10"/>
    </row>
    <row r="174" spans="1:17" ht="24">
      <c r="A174" s="164" t="s">
        <v>1416</v>
      </c>
      <c r="B174" s="210" t="s">
        <v>372</v>
      </c>
      <c r="C174" s="147" t="s">
        <v>434</v>
      </c>
      <c r="D174" s="147" t="s">
        <v>436</v>
      </c>
      <c r="E174" s="150" t="s">
        <v>3</v>
      </c>
      <c r="F174" s="150"/>
      <c r="G174" s="279">
        <f>G175+G182</f>
        <v>143899.9</v>
      </c>
      <c r="H174" s="30"/>
      <c r="I174" s="30"/>
      <c r="J174" s="30"/>
      <c r="K174" s="10"/>
      <c r="L174" s="10"/>
      <c r="M174" s="10"/>
      <c r="N174" s="10"/>
      <c r="O174" s="10"/>
      <c r="P174" s="10"/>
      <c r="Q174" s="10"/>
    </row>
    <row r="175" spans="1:17" ht="15">
      <c r="A175" s="179" t="s">
        <v>1736</v>
      </c>
      <c r="B175" s="210" t="s">
        <v>372</v>
      </c>
      <c r="C175" s="147" t="s">
        <v>434</v>
      </c>
      <c r="D175" s="147" t="s">
        <v>436</v>
      </c>
      <c r="E175" s="185" t="s">
        <v>4</v>
      </c>
      <c r="F175" s="150"/>
      <c r="G175" s="279">
        <f>G176</f>
        <v>3032</v>
      </c>
      <c r="H175" s="30"/>
      <c r="I175" s="30"/>
      <c r="J175" s="30"/>
      <c r="K175" s="10"/>
      <c r="L175" s="10"/>
      <c r="M175" s="10"/>
      <c r="N175" s="10"/>
      <c r="O175" s="10"/>
      <c r="P175" s="10"/>
      <c r="Q175" s="10"/>
    </row>
    <row r="176" spans="1:17" ht="36">
      <c r="A176" s="157" t="s">
        <v>1425</v>
      </c>
      <c r="B176" s="210" t="s">
        <v>372</v>
      </c>
      <c r="C176" s="147" t="s">
        <v>434</v>
      </c>
      <c r="D176" s="147" t="s">
        <v>436</v>
      </c>
      <c r="E176" s="147" t="s">
        <v>670</v>
      </c>
      <c r="F176" s="150"/>
      <c r="G176" s="279">
        <f>G177</f>
        <v>3032</v>
      </c>
      <c r="H176" s="30"/>
      <c r="I176" s="30"/>
      <c r="J176" s="30"/>
      <c r="K176" s="10"/>
      <c r="L176" s="10"/>
      <c r="M176" s="10"/>
      <c r="N176" s="10"/>
      <c r="O176" s="10"/>
      <c r="P176" s="10"/>
      <c r="Q176" s="10"/>
    </row>
    <row r="177" spans="1:17" ht="60">
      <c r="A177" s="157" t="s">
        <v>188</v>
      </c>
      <c r="B177" s="210" t="s">
        <v>372</v>
      </c>
      <c r="C177" s="147" t="s">
        <v>434</v>
      </c>
      <c r="D177" s="147" t="s">
        <v>436</v>
      </c>
      <c r="E177" s="147" t="s">
        <v>1426</v>
      </c>
      <c r="F177" s="147"/>
      <c r="G177" s="279">
        <f>G178+G180</f>
        <v>3032</v>
      </c>
      <c r="H177" s="30"/>
      <c r="I177" s="30"/>
      <c r="J177" s="30"/>
      <c r="K177" s="10"/>
      <c r="L177" s="10"/>
      <c r="M177" s="10"/>
      <c r="N177" s="10"/>
      <c r="O177" s="10"/>
      <c r="P177" s="10"/>
      <c r="Q177" s="10"/>
    </row>
    <row r="178" spans="1:17" ht="24">
      <c r="A178" s="153" t="s">
        <v>530</v>
      </c>
      <c r="B178" s="210" t="s">
        <v>372</v>
      </c>
      <c r="C178" s="147" t="s">
        <v>434</v>
      </c>
      <c r="D178" s="147" t="s">
        <v>436</v>
      </c>
      <c r="E178" s="147" t="s">
        <v>1426</v>
      </c>
      <c r="F178" s="147" t="s">
        <v>531</v>
      </c>
      <c r="G178" s="279">
        <f>G179</f>
        <v>190</v>
      </c>
      <c r="H178" s="30"/>
      <c r="I178" s="30"/>
      <c r="J178" s="30"/>
      <c r="K178" s="10"/>
      <c r="L178" s="10"/>
      <c r="M178" s="10"/>
      <c r="N178" s="10"/>
      <c r="O178" s="10"/>
      <c r="P178" s="10"/>
      <c r="Q178" s="10"/>
    </row>
    <row r="179" spans="1:17" ht="24">
      <c r="A179" s="157" t="s">
        <v>1073</v>
      </c>
      <c r="B179" s="210" t="s">
        <v>372</v>
      </c>
      <c r="C179" s="147" t="s">
        <v>434</v>
      </c>
      <c r="D179" s="147" t="s">
        <v>436</v>
      </c>
      <c r="E179" s="147" t="s">
        <v>1426</v>
      </c>
      <c r="F179" s="147" t="s">
        <v>399</v>
      </c>
      <c r="G179" s="158">
        <f>190</f>
        <v>190</v>
      </c>
      <c r="H179" s="30"/>
      <c r="I179" s="30"/>
      <c r="J179" s="30"/>
      <c r="K179" s="10"/>
      <c r="L179" s="10"/>
      <c r="M179" s="10"/>
      <c r="N179" s="10"/>
      <c r="O179" s="10"/>
      <c r="P179" s="10"/>
      <c r="Q179" s="10"/>
    </row>
    <row r="180" spans="1:17" ht="24">
      <c r="A180" s="152" t="s">
        <v>490</v>
      </c>
      <c r="B180" s="210" t="s">
        <v>372</v>
      </c>
      <c r="C180" s="147" t="s">
        <v>434</v>
      </c>
      <c r="D180" s="147" t="s">
        <v>436</v>
      </c>
      <c r="E180" s="147" t="s">
        <v>1426</v>
      </c>
      <c r="F180" s="147" t="s">
        <v>489</v>
      </c>
      <c r="G180" s="279">
        <f>G181</f>
        <v>2842</v>
      </c>
      <c r="H180" s="30"/>
      <c r="I180" s="30"/>
      <c r="J180" s="30"/>
      <c r="K180" s="10"/>
      <c r="L180" s="10"/>
      <c r="M180" s="10"/>
      <c r="N180" s="10"/>
      <c r="O180" s="10"/>
      <c r="P180" s="10"/>
      <c r="Q180" s="10"/>
    </row>
    <row r="181" spans="1:17" ht="24">
      <c r="A181" s="157" t="s">
        <v>573</v>
      </c>
      <c r="B181" s="210" t="s">
        <v>372</v>
      </c>
      <c r="C181" s="147" t="s">
        <v>434</v>
      </c>
      <c r="D181" s="147" t="s">
        <v>436</v>
      </c>
      <c r="E181" s="147" t="s">
        <v>1426</v>
      </c>
      <c r="F181" s="147" t="s">
        <v>574</v>
      </c>
      <c r="G181" s="158">
        <f>976+1866+190-190</f>
        <v>2842</v>
      </c>
      <c r="H181" s="30"/>
      <c r="I181" s="30"/>
      <c r="J181" s="30"/>
      <c r="K181" s="10"/>
      <c r="L181" s="10"/>
      <c r="M181" s="10"/>
      <c r="N181" s="10"/>
      <c r="O181" s="10"/>
      <c r="P181" s="10"/>
      <c r="Q181" s="10"/>
    </row>
    <row r="182" spans="1:17" ht="24">
      <c r="A182" s="152" t="s">
        <v>1746</v>
      </c>
      <c r="B182" s="210" t="s">
        <v>372</v>
      </c>
      <c r="C182" s="147" t="s">
        <v>434</v>
      </c>
      <c r="D182" s="147" t="s">
        <v>436</v>
      </c>
      <c r="E182" s="147" t="s">
        <v>643</v>
      </c>
      <c r="F182" s="150"/>
      <c r="G182" s="279">
        <f>G183+G199</f>
        <v>140867.9</v>
      </c>
      <c r="H182" s="30"/>
      <c r="I182" s="30"/>
      <c r="J182" s="30"/>
      <c r="K182" s="10"/>
      <c r="L182" s="10"/>
      <c r="M182" s="10"/>
      <c r="N182" s="10"/>
      <c r="O182" s="10"/>
      <c r="P182" s="10"/>
      <c r="Q182" s="10"/>
    </row>
    <row r="183" spans="1:17" ht="60">
      <c r="A183" s="157" t="s">
        <v>540</v>
      </c>
      <c r="B183" s="210" t="s">
        <v>372</v>
      </c>
      <c r="C183" s="147" t="s">
        <v>434</v>
      </c>
      <c r="D183" s="147" t="s">
        <v>436</v>
      </c>
      <c r="E183" s="147" t="s">
        <v>642</v>
      </c>
      <c r="F183" s="147"/>
      <c r="G183" s="279">
        <f>G184+G188+G192</f>
        <v>114004.9</v>
      </c>
      <c r="H183" s="30"/>
      <c r="I183" s="30"/>
      <c r="J183" s="30"/>
      <c r="K183" s="10"/>
      <c r="L183" s="10"/>
      <c r="M183" s="10"/>
      <c r="N183" s="10"/>
      <c r="O183" s="10"/>
      <c r="P183" s="10"/>
      <c r="Q183" s="10"/>
    </row>
    <row r="184" spans="1:17" ht="48">
      <c r="A184" s="326" t="s">
        <v>1767</v>
      </c>
      <c r="B184" s="210" t="s">
        <v>372</v>
      </c>
      <c r="C184" s="147" t="s">
        <v>434</v>
      </c>
      <c r="D184" s="147" t="s">
        <v>436</v>
      </c>
      <c r="E184" s="147" t="s">
        <v>1768</v>
      </c>
      <c r="F184" s="147"/>
      <c r="G184" s="325">
        <f>G185</f>
        <v>335</v>
      </c>
      <c r="H184" s="30"/>
      <c r="I184" s="30"/>
      <c r="J184" s="30"/>
      <c r="K184" s="10"/>
      <c r="L184" s="10"/>
      <c r="M184" s="10"/>
      <c r="N184" s="10"/>
      <c r="O184" s="10"/>
      <c r="P184" s="10"/>
      <c r="Q184" s="10"/>
    </row>
    <row r="185" spans="1:17" ht="24">
      <c r="A185" s="152" t="s">
        <v>490</v>
      </c>
      <c r="B185" s="210" t="s">
        <v>372</v>
      </c>
      <c r="C185" s="147" t="s">
        <v>434</v>
      </c>
      <c r="D185" s="147" t="s">
        <v>436</v>
      </c>
      <c r="E185" s="147" t="s">
        <v>1768</v>
      </c>
      <c r="F185" s="147" t="s">
        <v>489</v>
      </c>
      <c r="G185" s="325">
        <f>G186+G187</f>
        <v>335</v>
      </c>
      <c r="H185" s="30"/>
      <c r="I185" s="30"/>
      <c r="J185" s="30"/>
      <c r="K185" s="10"/>
      <c r="L185" s="10"/>
      <c r="M185" s="10"/>
      <c r="N185" s="10"/>
      <c r="O185" s="10"/>
      <c r="P185" s="10"/>
      <c r="Q185" s="10"/>
    </row>
    <row r="186" spans="1:17" ht="24">
      <c r="A186" s="157" t="s">
        <v>573</v>
      </c>
      <c r="B186" s="210" t="s">
        <v>372</v>
      </c>
      <c r="C186" s="147" t="s">
        <v>434</v>
      </c>
      <c r="D186" s="147" t="s">
        <v>436</v>
      </c>
      <c r="E186" s="147" t="s">
        <v>1768</v>
      </c>
      <c r="F186" s="147" t="s">
        <v>574</v>
      </c>
      <c r="G186" s="158">
        <f>171</f>
        <v>171</v>
      </c>
      <c r="H186" s="30"/>
      <c r="I186" s="30"/>
      <c r="J186" s="30"/>
      <c r="K186" s="10"/>
      <c r="L186" s="10"/>
      <c r="M186" s="10"/>
      <c r="N186" s="10"/>
      <c r="O186" s="10"/>
      <c r="P186" s="10"/>
      <c r="Q186" s="10"/>
    </row>
    <row r="187" spans="1:17" ht="24">
      <c r="A187" s="157" t="s">
        <v>1125</v>
      </c>
      <c r="B187" s="210" t="s">
        <v>372</v>
      </c>
      <c r="C187" s="147" t="s">
        <v>434</v>
      </c>
      <c r="D187" s="147" t="s">
        <v>436</v>
      </c>
      <c r="E187" s="147" t="s">
        <v>1768</v>
      </c>
      <c r="F187" s="147" t="s">
        <v>1126</v>
      </c>
      <c r="G187" s="158">
        <v>164</v>
      </c>
      <c r="H187" s="30"/>
      <c r="I187" s="30"/>
      <c r="J187" s="30"/>
      <c r="K187" s="10"/>
      <c r="L187" s="10"/>
      <c r="M187" s="10"/>
      <c r="N187" s="10"/>
      <c r="O187" s="10"/>
      <c r="P187" s="10"/>
      <c r="Q187" s="10"/>
    </row>
    <row r="188" spans="1:17" ht="36">
      <c r="A188" s="326" t="s">
        <v>1803</v>
      </c>
      <c r="B188" s="210" t="s">
        <v>372</v>
      </c>
      <c r="C188" s="147" t="s">
        <v>434</v>
      </c>
      <c r="D188" s="147" t="s">
        <v>436</v>
      </c>
      <c r="E188" s="147" t="s">
        <v>1804</v>
      </c>
      <c r="F188" s="147"/>
      <c r="G188" s="325">
        <f>G189</f>
        <v>26</v>
      </c>
      <c r="H188" s="30"/>
      <c r="I188" s="30"/>
      <c r="J188" s="30"/>
      <c r="K188" s="10"/>
      <c r="L188" s="10"/>
      <c r="M188" s="10"/>
      <c r="N188" s="10"/>
      <c r="O188" s="10"/>
      <c r="P188" s="10"/>
      <c r="Q188" s="10"/>
    </row>
    <row r="189" spans="1:17" ht="24">
      <c r="A189" s="152" t="s">
        <v>490</v>
      </c>
      <c r="B189" s="210" t="s">
        <v>372</v>
      </c>
      <c r="C189" s="150" t="s">
        <v>434</v>
      </c>
      <c r="D189" s="147" t="s">
        <v>436</v>
      </c>
      <c r="E189" s="147" t="s">
        <v>1804</v>
      </c>
      <c r="F189" s="150" t="s">
        <v>489</v>
      </c>
      <c r="G189" s="325">
        <f>G190+G191</f>
        <v>26</v>
      </c>
      <c r="H189" s="30"/>
      <c r="I189" s="30"/>
      <c r="J189" s="30"/>
      <c r="K189" s="10"/>
      <c r="L189" s="10"/>
      <c r="M189" s="10"/>
      <c r="N189" s="10"/>
      <c r="O189" s="10"/>
      <c r="P189" s="10"/>
      <c r="Q189" s="10"/>
    </row>
    <row r="190" spans="1:17" ht="24">
      <c r="A190" s="157" t="s">
        <v>371</v>
      </c>
      <c r="B190" s="210" t="s">
        <v>372</v>
      </c>
      <c r="C190" s="150" t="s">
        <v>434</v>
      </c>
      <c r="D190" s="147" t="s">
        <v>436</v>
      </c>
      <c r="E190" s="147" t="s">
        <v>1804</v>
      </c>
      <c r="F190" s="150" t="s">
        <v>574</v>
      </c>
      <c r="G190" s="158">
        <f>14</f>
        <v>14</v>
      </c>
      <c r="H190" s="30"/>
      <c r="I190" s="30"/>
      <c r="J190" s="30"/>
      <c r="K190" s="10"/>
      <c r="L190" s="10"/>
      <c r="M190" s="10"/>
      <c r="N190" s="10"/>
      <c r="O190" s="10"/>
      <c r="P190" s="10"/>
      <c r="Q190" s="10"/>
    </row>
    <row r="191" spans="1:17" ht="24">
      <c r="A191" s="157" t="s">
        <v>1125</v>
      </c>
      <c r="B191" s="210" t="s">
        <v>372</v>
      </c>
      <c r="C191" s="150" t="s">
        <v>434</v>
      </c>
      <c r="D191" s="147" t="s">
        <v>436</v>
      </c>
      <c r="E191" s="147" t="s">
        <v>1804</v>
      </c>
      <c r="F191" s="150" t="s">
        <v>1126</v>
      </c>
      <c r="G191" s="158">
        <v>12</v>
      </c>
      <c r="H191" s="30"/>
      <c r="I191" s="30"/>
      <c r="J191" s="30"/>
      <c r="K191" s="10"/>
      <c r="L191" s="10"/>
      <c r="M191" s="10"/>
      <c r="N191" s="10"/>
      <c r="O191" s="10"/>
      <c r="P191" s="10"/>
      <c r="Q191" s="10"/>
    </row>
    <row r="192" spans="1:17" ht="24">
      <c r="A192" s="157" t="s">
        <v>641</v>
      </c>
      <c r="B192" s="210" t="s">
        <v>372</v>
      </c>
      <c r="C192" s="147" t="s">
        <v>434</v>
      </c>
      <c r="D192" s="147" t="s">
        <v>436</v>
      </c>
      <c r="E192" s="147" t="s">
        <v>644</v>
      </c>
      <c r="F192" s="147"/>
      <c r="G192" s="279">
        <f>G193</f>
        <v>113643.9</v>
      </c>
      <c r="H192" s="30"/>
      <c r="I192" s="30"/>
      <c r="J192" s="30"/>
      <c r="K192" s="10"/>
      <c r="L192" s="10"/>
      <c r="M192" s="10"/>
      <c r="N192" s="10"/>
      <c r="O192" s="10"/>
      <c r="P192" s="10"/>
      <c r="Q192" s="10"/>
    </row>
    <row r="193" spans="1:17" ht="24">
      <c r="A193" s="152" t="s">
        <v>490</v>
      </c>
      <c r="B193" s="210" t="s">
        <v>372</v>
      </c>
      <c r="C193" s="150" t="s">
        <v>434</v>
      </c>
      <c r="D193" s="147" t="s">
        <v>436</v>
      </c>
      <c r="E193" s="147" t="s">
        <v>644</v>
      </c>
      <c r="F193" s="150" t="s">
        <v>489</v>
      </c>
      <c r="G193" s="279">
        <f>G194+G197</f>
        <v>113643.9</v>
      </c>
      <c r="H193" s="30"/>
      <c r="I193" s="30"/>
      <c r="J193" s="30"/>
      <c r="K193" s="10"/>
      <c r="L193" s="10"/>
      <c r="M193" s="10"/>
      <c r="N193" s="10"/>
      <c r="O193" s="10"/>
      <c r="P193" s="10"/>
      <c r="Q193" s="10"/>
    </row>
    <row r="194" spans="1:17" ht="24">
      <c r="A194" s="157" t="s">
        <v>371</v>
      </c>
      <c r="B194" s="210" t="s">
        <v>372</v>
      </c>
      <c r="C194" s="150" t="s">
        <v>434</v>
      </c>
      <c r="D194" s="147" t="s">
        <v>436</v>
      </c>
      <c r="E194" s="147" t="s">
        <v>644</v>
      </c>
      <c r="F194" s="150" t="s">
        <v>574</v>
      </c>
      <c r="G194" s="158">
        <f>87431+29+8350+700+G195+2982+G196-250-17500-14</f>
        <v>83683.9</v>
      </c>
      <c r="H194" s="30"/>
      <c r="I194" s="30"/>
      <c r="J194" s="30"/>
      <c r="K194" s="10"/>
      <c r="L194" s="10"/>
      <c r="M194" s="10"/>
      <c r="N194" s="10"/>
      <c r="O194" s="10"/>
      <c r="P194" s="10"/>
      <c r="Q194" s="10"/>
    </row>
    <row r="195" spans="1:17" ht="36">
      <c r="A195" s="157" t="s">
        <v>1568</v>
      </c>
      <c r="B195" s="210" t="s">
        <v>372</v>
      </c>
      <c r="C195" s="150" t="s">
        <v>434</v>
      </c>
      <c r="D195" s="150" t="s">
        <v>436</v>
      </c>
      <c r="E195" s="147" t="s">
        <v>644</v>
      </c>
      <c r="F195" s="150" t="s">
        <v>574</v>
      </c>
      <c r="G195" s="158">
        <f>80-80</f>
        <v>0</v>
      </c>
      <c r="H195" s="30"/>
      <c r="I195" s="30"/>
      <c r="J195" s="30"/>
      <c r="K195" s="10"/>
      <c r="L195" s="10"/>
      <c r="M195" s="10"/>
      <c r="N195" s="10"/>
      <c r="O195" s="10"/>
      <c r="P195" s="10"/>
      <c r="Q195" s="10"/>
    </row>
    <row r="196" spans="1:17" ht="24">
      <c r="A196" s="157" t="s">
        <v>1686</v>
      </c>
      <c r="B196" s="210" t="s">
        <v>372</v>
      </c>
      <c r="C196" s="150" t="s">
        <v>434</v>
      </c>
      <c r="D196" s="150" t="s">
        <v>436</v>
      </c>
      <c r="E196" s="147" t="s">
        <v>644</v>
      </c>
      <c r="F196" s="150" t="s">
        <v>574</v>
      </c>
      <c r="G196" s="158">
        <v>1955.9</v>
      </c>
      <c r="H196" s="30"/>
      <c r="I196" s="30"/>
      <c r="J196" s="30"/>
      <c r="K196" s="10"/>
      <c r="L196" s="10"/>
      <c r="M196" s="10"/>
      <c r="N196" s="10"/>
      <c r="O196" s="10"/>
      <c r="P196" s="10"/>
      <c r="Q196" s="10"/>
    </row>
    <row r="197" spans="1:17" ht="24">
      <c r="A197" s="157" t="s">
        <v>561</v>
      </c>
      <c r="B197" s="210" t="s">
        <v>372</v>
      </c>
      <c r="C197" s="150" t="s">
        <v>434</v>
      </c>
      <c r="D197" s="150" t="s">
        <v>436</v>
      </c>
      <c r="E197" s="147" t="s">
        <v>644</v>
      </c>
      <c r="F197" s="150" t="s">
        <v>1126</v>
      </c>
      <c r="G197" s="158">
        <f>28572+1445+G198-100-12</f>
        <v>29960</v>
      </c>
      <c r="H197" s="30"/>
      <c r="I197" s="30"/>
      <c r="J197" s="30"/>
      <c r="K197" s="10"/>
      <c r="L197" s="10"/>
      <c r="M197" s="10"/>
      <c r="N197" s="10"/>
      <c r="O197" s="10"/>
      <c r="P197" s="10"/>
      <c r="Q197" s="10"/>
    </row>
    <row r="198" spans="1:17" ht="24">
      <c r="A198" s="157" t="s">
        <v>1687</v>
      </c>
      <c r="B198" s="210" t="s">
        <v>372</v>
      </c>
      <c r="C198" s="150" t="s">
        <v>434</v>
      </c>
      <c r="D198" s="150" t="s">
        <v>436</v>
      </c>
      <c r="E198" s="147" t="s">
        <v>644</v>
      </c>
      <c r="F198" s="150" t="s">
        <v>1126</v>
      </c>
      <c r="G198" s="158">
        <v>55</v>
      </c>
      <c r="H198" s="30"/>
      <c r="I198" s="30"/>
      <c r="J198" s="30"/>
      <c r="K198" s="10"/>
      <c r="L198" s="10"/>
      <c r="M198" s="10"/>
      <c r="N198" s="10"/>
      <c r="O198" s="10"/>
      <c r="P198" s="10"/>
      <c r="Q198" s="10"/>
    </row>
    <row r="199" spans="1:17" ht="36">
      <c r="A199" s="157" t="s">
        <v>645</v>
      </c>
      <c r="B199" s="210" t="s">
        <v>372</v>
      </c>
      <c r="C199" s="150" t="s">
        <v>434</v>
      </c>
      <c r="D199" s="150" t="s">
        <v>436</v>
      </c>
      <c r="E199" s="147" t="s">
        <v>1428</v>
      </c>
      <c r="F199" s="150"/>
      <c r="G199" s="279">
        <f>G200</f>
        <v>26863</v>
      </c>
      <c r="H199" s="30"/>
      <c r="I199" s="30"/>
      <c r="J199" s="30"/>
      <c r="K199" s="10"/>
      <c r="L199" s="10"/>
      <c r="M199" s="10"/>
      <c r="N199" s="10"/>
      <c r="O199" s="10"/>
      <c r="P199" s="10"/>
      <c r="Q199" s="10"/>
    </row>
    <row r="200" spans="1:17" ht="36">
      <c r="A200" s="157" t="s">
        <v>646</v>
      </c>
      <c r="B200" s="210" t="s">
        <v>372</v>
      </c>
      <c r="C200" s="150" t="s">
        <v>434</v>
      </c>
      <c r="D200" s="150" t="s">
        <v>436</v>
      </c>
      <c r="E200" s="147" t="s">
        <v>1429</v>
      </c>
      <c r="F200" s="150"/>
      <c r="G200" s="279">
        <f>G201</f>
        <v>26863</v>
      </c>
      <c r="H200" s="30"/>
      <c r="I200" s="30"/>
      <c r="J200" s="30"/>
      <c r="K200" s="10"/>
      <c r="L200" s="10"/>
      <c r="M200" s="10"/>
      <c r="N200" s="10"/>
      <c r="O200" s="10"/>
      <c r="P200" s="10"/>
      <c r="Q200" s="10"/>
    </row>
    <row r="201" spans="1:17" ht="24">
      <c r="A201" s="152" t="s">
        <v>490</v>
      </c>
      <c r="B201" s="210" t="s">
        <v>372</v>
      </c>
      <c r="C201" s="150" t="s">
        <v>434</v>
      </c>
      <c r="D201" s="150" t="s">
        <v>436</v>
      </c>
      <c r="E201" s="147" t="s">
        <v>1429</v>
      </c>
      <c r="F201" s="150" t="s">
        <v>489</v>
      </c>
      <c r="G201" s="279">
        <f>G202</f>
        <v>26863</v>
      </c>
      <c r="H201" s="30"/>
      <c r="I201" s="30"/>
      <c r="J201" s="30"/>
      <c r="K201" s="10"/>
      <c r="L201" s="10"/>
      <c r="M201" s="10"/>
      <c r="N201" s="10"/>
      <c r="O201" s="10"/>
      <c r="P201" s="10"/>
      <c r="Q201" s="10"/>
    </row>
    <row r="202" spans="1:17" ht="24">
      <c r="A202" s="157" t="s">
        <v>573</v>
      </c>
      <c r="B202" s="210" t="s">
        <v>372</v>
      </c>
      <c r="C202" s="150" t="s">
        <v>434</v>
      </c>
      <c r="D202" s="150" t="s">
        <v>436</v>
      </c>
      <c r="E202" s="147" t="s">
        <v>1429</v>
      </c>
      <c r="F202" s="150" t="s">
        <v>574</v>
      </c>
      <c r="G202" s="158">
        <f>13797+66+13000+1000-1000</f>
        <v>26863</v>
      </c>
      <c r="H202" s="30"/>
      <c r="I202" s="30"/>
      <c r="J202" s="30"/>
      <c r="K202" s="10"/>
      <c r="L202" s="10"/>
      <c r="M202" s="10"/>
      <c r="N202" s="10"/>
      <c r="O202" s="10"/>
      <c r="P202" s="10"/>
      <c r="Q202" s="10"/>
    </row>
    <row r="203" spans="1:17" ht="24">
      <c r="A203" s="157" t="s">
        <v>1078</v>
      </c>
      <c r="B203" s="210" t="s">
        <v>372</v>
      </c>
      <c r="C203" s="150" t="s">
        <v>434</v>
      </c>
      <c r="D203" s="150" t="s">
        <v>436</v>
      </c>
      <c r="E203" s="147" t="s">
        <v>1079</v>
      </c>
      <c r="F203" s="150"/>
      <c r="G203" s="279">
        <f>G204</f>
        <v>5200</v>
      </c>
      <c r="H203" s="30"/>
      <c r="I203" s="30"/>
      <c r="J203" s="30"/>
      <c r="K203" s="10"/>
      <c r="L203" s="10"/>
      <c r="M203" s="10"/>
      <c r="N203" s="10"/>
      <c r="O203" s="10"/>
      <c r="P203" s="10"/>
      <c r="Q203" s="10"/>
    </row>
    <row r="204" spans="1:17" ht="24">
      <c r="A204" s="152" t="s">
        <v>490</v>
      </c>
      <c r="B204" s="210" t="s">
        <v>372</v>
      </c>
      <c r="C204" s="150" t="s">
        <v>434</v>
      </c>
      <c r="D204" s="150" t="s">
        <v>436</v>
      </c>
      <c r="E204" s="147" t="s">
        <v>1079</v>
      </c>
      <c r="F204" s="150" t="s">
        <v>489</v>
      </c>
      <c r="G204" s="279">
        <f>G205</f>
        <v>5200</v>
      </c>
      <c r="H204" s="30"/>
      <c r="I204" s="30"/>
      <c r="J204" s="30"/>
      <c r="K204" s="10"/>
      <c r="L204" s="10"/>
      <c r="M204" s="10"/>
      <c r="N204" s="10"/>
      <c r="O204" s="10"/>
      <c r="P204" s="10"/>
      <c r="Q204" s="10"/>
    </row>
    <row r="205" spans="1:17" ht="24">
      <c r="A205" s="157" t="s">
        <v>491</v>
      </c>
      <c r="B205" s="210" t="s">
        <v>372</v>
      </c>
      <c r="C205" s="150" t="s">
        <v>434</v>
      </c>
      <c r="D205" s="150" t="s">
        <v>436</v>
      </c>
      <c r="E205" s="147" t="s">
        <v>1079</v>
      </c>
      <c r="F205" s="150" t="s">
        <v>574</v>
      </c>
      <c r="G205" s="279">
        <f>G206+G207+G208</f>
        <v>5200</v>
      </c>
      <c r="H205" s="30"/>
      <c r="I205" s="30"/>
      <c r="J205" s="30"/>
      <c r="K205" s="10"/>
      <c r="L205" s="10"/>
      <c r="M205" s="10"/>
      <c r="N205" s="10"/>
      <c r="O205" s="10"/>
      <c r="P205" s="10"/>
      <c r="Q205" s="10"/>
    </row>
    <row r="206" spans="1:17" ht="53.25" customHeight="1">
      <c r="A206" s="157" t="s">
        <v>1688</v>
      </c>
      <c r="B206" s="210" t="s">
        <v>372</v>
      </c>
      <c r="C206" s="150" t="s">
        <v>434</v>
      </c>
      <c r="D206" s="150" t="s">
        <v>436</v>
      </c>
      <c r="E206" s="147" t="s">
        <v>1079</v>
      </c>
      <c r="F206" s="150" t="s">
        <v>574</v>
      </c>
      <c r="G206" s="158">
        <v>100</v>
      </c>
      <c r="H206" s="30"/>
      <c r="I206" s="30"/>
      <c r="J206" s="30"/>
      <c r="K206" s="10"/>
      <c r="L206" s="10"/>
      <c r="M206" s="10"/>
      <c r="N206" s="10"/>
      <c r="O206" s="10"/>
      <c r="P206" s="10"/>
      <c r="Q206" s="10"/>
    </row>
    <row r="207" spans="1:17" ht="52.5" customHeight="1">
      <c r="A207" s="157" t="s">
        <v>1689</v>
      </c>
      <c r="B207" s="210" t="s">
        <v>372</v>
      </c>
      <c r="C207" s="150" t="s">
        <v>434</v>
      </c>
      <c r="D207" s="150" t="s">
        <v>436</v>
      </c>
      <c r="E207" s="147" t="s">
        <v>1079</v>
      </c>
      <c r="F207" s="150" t="s">
        <v>574</v>
      </c>
      <c r="G207" s="158">
        <v>2500</v>
      </c>
      <c r="H207" s="30"/>
      <c r="I207" s="30"/>
      <c r="J207" s="30"/>
      <c r="K207" s="10"/>
      <c r="L207" s="10"/>
      <c r="M207" s="10"/>
      <c r="N207" s="10"/>
      <c r="O207" s="10"/>
      <c r="P207" s="10"/>
      <c r="Q207" s="10"/>
    </row>
    <row r="208" spans="1:17" ht="58.5" customHeight="1">
      <c r="A208" s="157" t="s">
        <v>1690</v>
      </c>
      <c r="B208" s="210" t="s">
        <v>372</v>
      </c>
      <c r="C208" s="150" t="s">
        <v>434</v>
      </c>
      <c r="D208" s="150" t="s">
        <v>436</v>
      </c>
      <c r="E208" s="147" t="s">
        <v>1079</v>
      </c>
      <c r="F208" s="150" t="s">
        <v>574</v>
      </c>
      <c r="G208" s="158">
        <v>2600</v>
      </c>
      <c r="H208" s="30"/>
      <c r="I208" s="30"/>
      <c r="J208" s="30"/>
      <c r="K208" s="10"/>
      <c r="L208" s="10"/>
      <c r="M208" s="10"/>
      <c r="N208" s="10"/>
      <c r="O208" s="10"/>
      <c r="P208" s="10"/>
      <c r="Q208" s="10"/>
    </row>
    <row r="209" spans="1:17" ht="24">
      <c r="A209" s="156" t="s">
        <v>779</v>
      </c>
      <c r="B209" s="210" t="s">
        <v>372</v>
      </c>
      <c r="C209" s="147" t="s">
        <v>434</v>
      </c>
      <c r="D209" s="147" t="s">
        <v>432</v>
      </c>
      <c r="E209" s="150"/>
      <c r="F209" s="150"/>
      <c r="G209" s="155">
        <f>G210</f>
        <v>300</v>
      </c>
      <c r="H209" s="30"/>
      <c r="I209" s="30"/>
      <c r="J209" s="30"/>
      <c r="K209" s="10"/>
      <c r="L209" s="10"/>
      <c r="M209" s="10"/>
      <c r="N209" s="10"/>
      <c r="O209" s="10"/>
      <c r="P209" s="10"/>
      <c r="Q209" s="10"/>
    </row>
    <row r="210" spans="1:17" ht="24">
      <c r="A210" s="164" t="s">
        <v>1416</v>
      </c>
      <c r="B210" s="210" t="s">
        <v>372</v>
      </c>
      <c r="C210" s="147" t="s">
        <v>434</v>
      </c>
      <c r="D210" s="147" t="s">
        <v>432</v>
      </c>
      <c r="E210" s="150" t="s">
        <v>3</v>
      </c>
      <c r="F210" s="150"/>
      <c r="G210" s="155">
        <f>G211</f>
        <v>300</v>
      </c>
      <c r="H210" s="30"/>
      <c r="I210" s="30"/>
      <c r="J210" s="30"/>
      <c r="K210" s="10"/>
      <c r="L210" s="10"/>
      <c r="M210" s="10"/>
      <c r="N210" s="10"/>
      <c r="O210" s="10"/>
      <c r="P210" s="10"/>
      <c r="Q210" s="10"/>
    </row>
    <row r="211" spans="1:17" ht="24">
      <c r="A211" s="157" t="s">
        <v>1747</v>
      </c>
      <c r="B211" s="210" t="s">
        <v>372</v>
      </c>
      <c r="C211" s="147" t="s">
        <v>434</v>
      </c>
      <c r="D211" s="147" t="s">
        <v>432</v>
      </c>
      <c r="E211" s="150" t="s">
        <v>804</v>
      </c>
      <c r="F211" s="150"/>
      <c r="G211" s="155">
        <f>G212</f>
        <v>300</v>
      </c>
      <c r="H211" s="30"/>
      <c r="I211" s="30"/>
      <c r="J211" s="30"/>
      <c r="K211" s="10"/>
      <c r="L211" s="10"/>
      <c r="M211" s="10"/>
      <c r="N211" s="10"/>
      <c r="O211" s="10"/>
      <c r="P211" s="10"/>
      <c r="Q211" s="10"/>
    </row>
    <row r="212" spans="1:7" ht="24">
      <c r="A212" s="157" t="s">
        <v>116</v>
      </c>
      <c r="B212" s="210" t="s">
        <v>372</v>
      </c>
      <c r="C212" s="147" t="s">
        <v>434</v>
      </c>
      <c r="D212" s="147" t="s">
        <v>432</v>
      </c>
      <c r="E212" s="150" t="s">
        <v>40</v>
      </c>
      <c r="F212" s="150"/>
      <c r="G212" s="155">
        <f>G213</f>
        <v>300</v>
      </c>
    </row>
    <row r="213" spans="1:7" ht="36">
      <c r="A213" s="157" t="s">
        <v>806</v>
      </c>
      <c r="B213" s="210" t="s">
        <v>372</v>
      </c>
      <c r="C213" s="147" t="s">
        <v>434</v>
      </c>
      <c r="D213" s="147" t="s">
        <v>432</v>
      </c>
      <c r="E213" s="150" t="s">
        <v>805</v>
      </c>
      <c r="F213" s="150"/>
      <c r="G213" s="155">
        <f>G214+G217</f>
        <v>300</v>
      </c>
    </row>
    <row r="214" spans="1:7" ht="48">
      <c r="A214" s="153" t="s">
        <v>1065</v>
      </c>
      <c r="B214" s="210" t="s">
        <v>372</v>
      </c>
      <c r="C214" s="147" t="s">
        <v>434</v>
      </c>
      <c r="D214" s="147" t="s">
        <v>432</v>
      </c>
      <c r="E214" s="150" t="s">
        <v>805</v>
      </c>
      <c r="F214" s="150" t="s">
        <v>960</v>
      </c>
      <c r="G214" s="155">
        <f>G215</f>
        <v>240</v>
      </c>
    </row>
    <row r="215" spans="1:7" ht="24">
      <c r="A215" s="152" t="s">
        <v>515</v>
      </c>
      <c r="B215" s="210" t="s">
        <v>372</v>
      </c>
      <c r="C215" s="147" t="s">
        <v>434</v>
      </c>
      <c r="D215" s="147" t="s">
        <v>432</v>
      </c>
      <c r="E215" s="150" t="s">
        <v>805</v>
      </c>
      <c r="F215" s="150" t="s">
        <v>115</v>
      </c>
      <c r="G215" s="158">
        <f>240</f>
        <v>240</v>
      </c>
    </row>
    <row r="216" spans="1:7" ht="24">
      <c r="A216" s="153" t="s">
        <v>1066</v>
      </c>
      <c r="B216" s="210" t="s">
        <v>372</v>
      </c>
      <c r="C216" s="147" t="s">
        <v>434</v>
      </c>
      <c r="D216" s="147" t="s">
        <v>432</v>
      </c>
      <c r="E216" s="150" t="s">
        <v>805</v>
      </c>
      <c r="F216" s="150" t="s">
        <v>529</v>
      </c>
      <c r="G216" s="155">
        <f>G217</f>
        <v>60</v>
      </c>
    </row>
    <row r="217" spans="1:7" ht="24">
      <c r="A217" s="152" t="s">
        <v>1072</v>
      </c>
      <c r="B217" s="210" t="s">
        <v>372</v>
      </c>
      <c r="C217" s="147" t="s">
        <v>434</v>
      </c>
      <c r="D217" s="147" t="s">
        <v>432</v>
      </c>
      <c r="E217" s="150" t="s">
        <v>805</v>
      </c>
      <c r="F217" s="150" t="s">
        <v>429</v>
      </c>
      <c r="G217" s="158">
        <f>300-240</f>
        <v>60</v>
      </c>
    </row>
    <row r="218" spans="1:7" ht="15">
      <c r="A218" s="156" t="s">
        <v>315</v>
      </c>
      <c r="B218" s="210" t="s">
        <v>372</v>
      </c>
      <c r="C218" s="147" t="s">
        <v>434</v>
      </c>
      <c r="D218" s="147" t="s">
        <v>434</v>
      </c>
      <c r="E218" s="147"/>
      <c r="F218" s="147"/>
      <c r="G218" s="155">
        <f>G219</f>
        <v>25629</v>
      </c>
    </row>
    <row r="219" spans="1:7" ht="24">
      <c r="A219" s="164" t="s">
        <v>1416</v>
      </c>
      <c r="B219" s="210" t="s">
        <v>372</v>
      </c>
      <c r="C219" s="147" t="s">
        <v>434</v>
      </c>
      <c r="D219" s="147" t="s">
        <v>434</v>
      </c>
      <c r="E219" s="147" t="s">
        <v>3</v>
      </c>
      <c r="F219" s="147"/>
      <c r="G219" s="155">
        <f>G220</f>
        <v>25629</v>
      </c>
    </row>
    <row r="220" spans="1:7" ht="24">
      <c r="A220" s="152" t="s">
        <v>1746</v>
      </c>
      <c r="B220" s="210" t="s">
        <v>372</v>
      </c>
      <c r="C220" s="147" t="s">
        <v>434</v>
      </c>
      <c r="D220" s="147" t="s">
        <v>434</v>
      </c>
      <c r="E220" s="147" t="s">
        <v>643</v>
      </c>
      <c r="F220" s="147"/>
      <c r="G220" s="155">
        <f>G221</f>
        <v>25629</v>
      </c>
    </row>
    <row r="221" spans="1:7" ht="24">
      <c r="A221" s="152" t="s">
        <v>807</v>
      </c>
      <c r="B221" s="210" t="s">
        <v>372</v>
      </c>
      <c r="C221" s="147" t="s">
        <v>434</v>
      </c>
      <c r="D221" s="147" t="s">
        <v>434</v>
      </c>
      <c r="E221" s="147" t="s">
        <v>802</v>
      </c>
      <c r="F221" s="147"/>
      <c r="G221" s="155">
        <f>G222+G228</f>
        <v>25629</v>
      </c>
    </row>
    <row r="222" spans="1:7" ht="36">
      <c r="A222" s="152" t="s">
        <v>1569</v>
      </c>
      <c r="B222" s="210" t="s">
        <v>372</v>
      </c>
      <c r="C222" s="147" t="s">
        <v>434</v>
      </c>
      <c r="D222" s="147" t="s">
        <v>434</v>
      </c>
      <c r="E222" s="147" t="s">
        <v>1433</v>
      </c>
      <c r="F222" s="147"/>
      <c r="G222" s="155">
        <f>G223+G225</f>
        <v>8364</v>
      </c>
    </row>
    <row r="223" spans="1:7" ht="24">
      <c r="A223" s="153" t="s">
        <v>530</v>
      </c>
      <c r="B223" s="210" t="s">
        <v>372</v>
      </c>
      <c r="C223" s="147" t="s">
        <v>434</v>
      </c>
      <c r="D223" s="147" t="s">
        <v>434</v>
      </c>
      <c r="E223" s="147" t="s">
        <v>1433</v>
      </c>
      <c r="F223" s="147" t="s">
        <v>531</v>
      </c>
      <c r="G223" s="155">
        <f>G224</f>
        <v>4783.8</v>
      </c>
    </row>
    <row r="224" spans="1:7" ht="24">
      <c r="A224" s="152" t="s">
        <v>171</v>
      </c>
      <c r="B224" s="210" t="s">
        <v>372</v>
      </c>
      <c r="C224" s="147" t="s">
        <v>434</v>
      </c>
      <c r="D224" s="147" t="s">
        <v>434</v>
      </c>
      <c r="E224" s="147" t="s">
        <v>1433</v>
      </c>
      <c r="F224" s="147" t="s">
        <v>399</v>
      </c>
      <c r="G224" s="158">
        <f>8364-3484-96.2</f>
        <v>4783.8</v>
      </c>
    </row>
    <row r="225" spans="1:7" ht="24">
      <c r="A225" s="152" t="s">
        <v>490</v>
      </c>
      <c r="B225" s="210" t="s">
        <v>372</v>
      </c>
      <c r="C225" s="147" t="s">
        <v>434</v>
      </c>
      <c r="D225" s="147" t="s">
        <v>434</v>
      </c>
      <c r="E225" s="147" t="s">
        <v>1433</v>
      </c>
      <c r="F225" s="147" t="s">
        <v>489</v>
      </c>
      <c r="G225" s="279">
        <f>G226</f>
        <v>3580.2</v>
      </c>
    </row>
    <row r="226" spans="1:7" ht="24">
      <c r="A226" s="157" t="s">
        <v>561</v>
      </c>
      <c r="B226" s="210" t="s">
        <v>372</v>
      </c>
      <c r="C226" s="147" t="s">
        <v>434</v>
      </c>
      <c r="D226" s="147" t="s">
        <v>434</v>
      </c>
      <c r="E226" s="147" t="s">
        <v>1433</v>
      </c>
      <c r="F226" s="147" t="s">
        <v>1126</v>
      </c>
      <c r="G226" s="279">
        <f>G227</f>
        <v>3580.2</v>
      </c>
    </row>
    <row r="227" spans="1:7" ht="24">
      <c r="A227" s="157" t="s">
        <v>1080</v>
      </c>
      <c r="B227" s="210" t="s">
        <v>372</v>
      </c>
      <c r="C227" s="147" t="s">
        <v>434</v>
      </c>
      <c r="D227" s="147" t="s">
        <v>434</v>
      </c>
      <c r="E227" s="147" t="s">
        <v>1433</v>
      </c>
      <c r="F227" s="147" t="s">
        <v>1126</v>
      </c>
      <c r="G227" s="158">
        <f>3484+96.2</f>
        <v>3580.2</v>
      </c>
    </row>
    <row r="228" spans="1:7" ht="24">
      <c r="A228" s="152" t="s">
        <v>84</v>
      </c>
      <c r="B228" s="210" t="s">
        <v>372</v>
      </c>
      <c r="C228" s="147" t="s">
        <v>434</v>
      </c>
      <c r="D228" s="147" t="s">
        <v>434</v>
      </c>
      <c r="E228" s="147" t="s">
        <v>1432</v>
      </c>
      <c r="F228" s="147"/>
      <c r="G228" s="155">
        <f>G229+G231</f>
        <v>17265</v>
      </c>
    </row>
    <row r="229" spans="1:7" ht="24">
      <c r="A229" s="153" t="s">
        <v>530</v>
      </c>
      <c r="B229" s="210" t="s">
        <v>372</v>
      </c>
      <c r="C229" s="147" t="s">
        <v>434</v>
      </c>
      <c r="D229" s="147" t="s">
        <v>434</v>
      </c>
      <c r="E229" s="147" t="s">
        <v>1432</v>
      </c>
      <c r="F229" s="147" t="s">
        <v>531</v>
      </c>
      <c r="G229" s="155">
        <f>G230</f>
        <v>3250</v>
      </c>
    </row>
    <row r="230" spans="1:7" ht="24">
      <c r="A230" s="152" t="s">
        <v>171</v>
      </c>
      <c r="B230" s="210" t="s">
        <v>372</v>
      </c>
      <c r="C230" s="147" t="s">
        <v>434</v>
      </c>
      <c r="D230" s="147" t="s">
        <v>434</v>
      </c>
      <c r="E230" s="147" t="s">
        <v>1432</v>
      </c>
      <c r="F230" s="147" t="s">
        <v>399</v>
      </c>
      <c r="G230" s="158">
        <f>2800+450</f>
        <v>3250</v>
      </c>
    </row>
    <row r="231" spans="1:7" ht="24">
      <c r="A231" s="152" t="s">
        <v>490</v>
      </c>
      <c r="B231" s="210" t="s">
        <v>372</v>
      </c>
      <c r="C231" s="147" t="s">
        <v>434</v>
      </c>
      <c r="D231" s="147" t="s">
        <v>434</v>
      </c>
      <c r="E231" s="147" t="s">
        <v>1432</v>
      </c>
      <c r="F231" s="147" t="s">
        <v>489</v>
      </c>
      <c r="G231" s="155">
        <f>G232+G234</f>
        <v>14015</v>
      </c>
    </row>
    <row r="232" spans="1:7" ht="24">
      <c r="A232" s="157" t="s">
        <v>491</v>
      </c>
      <c r="B232" s="210" t="s">
        <v>372</v>
      </c>
      <c r="C232" s="147" t="s">
        <v>434</v>
      </c>
      <c r="D232" s="147" t="s">
        <v>434</v>
      </c>
      <c r="E232" s="147" t="s">
        <v>1432</v>
      </c>
      <c r="F232" s="147" t="s">
        <v>574</v>
      </c>
      <c r="G232" s="155">
        <f>G233</f>
        <v>4070</v>
      </c>
    </row>
    <row r="233" spans="1:7" ht="24">
      <c r="A233" s="157" t="s">
        <v>1080</v>
      </c>
      <c r="B233" s="210" t="s">
        <v>372</v>
      </c>
      <c r="C233" s="147" t="s">
        <v>434</v>
      </c>
      <c r="D233" s="147" t="s">
        <v>434</v>
      </c>
      <c r="E233" s="147" t="s">
        <v>1432</v>
      </c>
      <c r="F233" s="147" t="s">
        <v>574</v>
      </c>
      <c r="G233" s="161">
        <f>19000-1735-13305+110</f>
        <v>4070</v>
      </c>
    </row>
    <row r="234" spans="1:7" ht="24">
      <c r="A234" s="157" t="s">
        <v>561</v>
      </c>
      <c r="B234" s="210" t="s">
        <v>372</v>
      </c>
      <c r="C234" s="147" t="s">
        <v>434</v>
      </c>
      <c r="D234" s="147" t="s">
        <v>434</v>
      </c>
      <c r="E234" s="147" t="s">
        <v>1432</v>
      </c>
      <c r="F234" s="147" t="s">
        <v>1126</v>
      </c>
      <c r="G234" s="279">
        <f>G235</f>
        <v>9945</v>
      </c>
    </row>
    <row r="235" spans="1:7" ht="24">
      <c r="A235" s="157" t="s">
        <v>1080</v>
      </c>
      <c r="B235" s="210" t="s">
        <v>372</v>
      </c>
      <c r="C235" s="147" t="s">
        <v>434</v>
      </c>
      <c r="D235" s="147" t="s">
        <v>434</v>
      </c>
      <c r="E235" s="147" t="s">
        <v>1432</v>
      </c>
      <c r="F235" s="147" t="s">
        <v>1126</v>
      </c>
      <c r="G235" s="161">
        <f>10505-560</f>
        <v>9945</v>
      </c>
    </row>
    <row r="236" spans="1:7" ht="15">
      <c r="A236" s="190" t="s">
        <v>991</v>
      </c>
      <c r="B236" s="210" t="s">
        <v>372</v>
      </c>
      <c r="C236" s="147" t="s">
        <v>434</v>
      </c>
      <c r="D236" s="147" t="s">
        <v>435</v>
      </c>
      <c r="E236" s="147"/>
      <c r="F236" s="147"/>
      <c r="G236" s="155">
        <f>G237</f>
        <v>126950</v>
      </c>
    </row>
    <row r="237" spans="1:7" ht="24">
      <c r="A237" s="164" t="s">
        <v>1416</v>
      </c>
      <c r="B237" s="210" t="s">
        <v>372</v>
      </c>
      <c r="C237" s="147" t="s">
        <v>434</v>
      </c>
      <c r="D237" s="147" t="s">
        <v>435</v>
      </c>
      <c r="E237" s="147" t="s">
        <v>3</v>
      </c>
      <c r="F237" s="147"/>
      <c r="G237" s="155">
        <f>G238+G243</f>
        <v>126950</v>
      </c>
    </row>
    <row r="238" spans="1:7" ht="24">
      <c r="A238" s="157" t="s">
        <v>1749</v>
      </c>
      <c r="B238" s="210" t="s">
        <v>372</v>
      </c>
      <c r="C238" s="150" t="s">
        <v>434</v>
      </c>
      <c r="D238" s="150" t="s">
        <v>435</v>
      </c>
      <c r="E238" s="150" t="s">
        <v>8</v>
      </c>
      <c r="F238" s="150"/>
      <c r="G238" s="155">
        <f>G239</f>
        <v>2316</v>
      </c>
    </row>
    <row r="239" spans="1:7" ht="36">
      <c r="A239" s="157" t="s">
        <v>7</v>
      </c>
      <c r="B239" s="210" t="s">
        <v>372</v>
      </c>
      <c r="C239" s="150" t="s">
        <v>434</v>
      </c>
      <c r="D239" s="150" t="s">
        <v>435</v>
      </c>
      <c r="E239" s="150" t="s">
        <v>9</v>
      </c>
      <c r="F239" s="150"/>
      <c r="G239" s="155">
        <f>G240</f>
        <v>2316</v>
      </c>
    </row>
    <row r="240" spans="1:7" ht="48">
      <c r="A240" s="191" t="s">
        <v>648</v>
      </c>
      <c r="B240" s="210" t="s">
        <v>372</v>
      </c>
      <c r="C240" s="150" t="s">
        <v>434</v>
      </c>
      <c r="D240" s="150" t="s">
        <v>435</v>
      </c>
      <c r="E240" s="150" t="s">
        <v>10</v>
      </c>
      <c r="F240" s="150"/>
      <c r="G240" s="155">
        <f>G241</f>
        <v>2316</v>
      </c>
    </row>
    <row r="241" spans="1:7" ht="24">
      <c r="A241" s="152" t="s">
        <v>490</v>
      </c>
      <c r="B241" s="210" t="s">
        <v>372</v>
      </c>
      <c r="C241" s="150" t="s">
        <v>434</v>
      </c>
      <c r="D241" s="150" t="s">
        <v>435</v>
      </c>
      <c r="E241" s="150" t="s">
        <v>10</v>
      </c>
      <c r="F241" s="150" t="s">
        <v>489</v>
      </c>
      <c r="G241" s="155">
        <f>G242</f>
        <v>2316</v>
      </c>
    </row>
    <row r="242" spans="1:7" ht="24">
      <c r="A242" s="157" t="s">
        <v>573</v>
      </c>
      <c r="B242" s="210" t="s">
        <v>372</v>
      </c>
      <c r="C242" s="150" t="s">
        <v>434</v>
      </c>
      <c r="D242" s="150" t="s">
        <v>435</v>
      </c>
      <c r="E242" s="150" t="s">
        <v>10</v>
      </c>
      <c r="F242" s="150" t="s">
        <v>574</v>
      </c>
      <c r="G242" s="158">
        <f>2316</f>
        <v>2316</v>
      </c>
    </row>
    <row r="243" spans="1:7" ht="24">
      <c r="A243" s="157" t="s">
        <v>1747</v>
      </c>
      <c r="B243" s="210" t="s">
        <v>372</v>
      </c>
      <c r="C243" s="147" t="s">
        <v>434</v>
      </c>
      <c r="D243" s="147" t="s">
        <v>435</v>
      </c>
      <c r="E243" s="147" t="s">
        <v>804</v>
      </c>
      <c r="F243" s="147"/>
      <c r="G243" s="155">
        <f>G244+G252+G258</f>
        <v>124634</v>
      </c>
    </row>
    <row r="244" spans="1:7" ht="33" customHeight="1">
      <c r="A244" s="157" t="s">
        <v>295</v>
      </c>
      <c r="B244" s="210" t="s">
        <v>372</v>
      </c>
      <c r="C244" s="147" t="s">
        <v>808</v>
      </c>
      <c r="D244" s="147" t="s">
        <v>435</v>
      </c>
      <c r="E244" s="147" t="s">
        <v>296</v>
      </c>
      <c r="F244" s="147"/>
      <c r="G244" s="155">
        <f>G245</f>
        <v>32394</v>
      </c>
    </row>
    <row r="245" spans="1:7" ht="24">
      <c r="A245" s="157" t="s">
        <v>191</v>
      </c>
      <c r="B245" s="210" t="s">
        <v>372</v>
      </c>
      <c r="C245" s="147" t="s">
        <v>808</v>
      </c>
      <c r="D245" s="147" t="s">
        <v>435</v>
      </c>
      <c r="E245" s="147" t="s">
        <v>297</v>
      </c>
      <c r="F245" s="147"/>
      <c r="G245" s="155">
        <f>G246+G248+G250</f>
        <v>32394</v>
      </c>
    </row>
    <row r="246" spans="1:7" ht="48">
      <c r="A246" s="153" t="s">
        <v>1065</v>
      </c>
      <c r="B246" s="210" t="s">
        <v>372</v>
      </c>
      <c r="C246" s="147" t="s">
        <v>434</v>
      </c>
      <c r="D246" s="147" t="s">
        <v>435</v>
      </c>
      <c r="E246" s="147" t="s">
        <v>297</v>
      </c>
      <c r="F246" s="147" t="s">
        <v>960</v>
      </c>
      <c r="G246" s="155">
        <f>G247</f>
        <v>27020</v>
      </c>
    </row>
    <row r="247" spans="1:7" ht="24">
      <c r="A247" s="152" t="s">
        <v>515</v>
      </c>
      <c r="B247" s="210" t="s">
        <v>372</v>
      </c>
      <c r="C247" s="147" t="s">
        <v>434</v>
      </c>
      <c r="D247" s="147" t="s">
        <v>435</v>
      </c>
      <c r="E247" s="147" t="s">
        <v>297</v>
      </c>
      <c r="F247" s="147" t="s">
        <v>115</v>
      </c>
      <c r="G247" s="158">
        <f>27000+20</f>
        <v>27020</v>
      </c>
    </row>
    <row r="248" spans="1:7" ht="24">
      <c r="A248" s="153" t="s">
        <v>974</v>
      </c>
      <c r="B248" s="210" t="s">
        <v>372</v>
      </c>
      <c r="C248" s="147" t="s">
        <v>434</v>
      </c>
      <c r="D248" s="147" t="s">
        <v>435</v>
      </c>
      <c r="E248" s="147" t="s">
        <v>297</v>
      </c>
      <c r="F248" s="147" t="s">
        <v>529</v>
      </c>
      <c r="G248" s="155">
        <f>G249</f>
        <v>5311</v>
      </c>
    </row>
    <row r="249" spans="1:7" ht="24">
      <c r="A249" s="153" t="s">
        <v>1066</v>
      </c>
      <c r="B249" s="210" t="s">
        <v>372</v>
      </c>
      <c r="C249" s="147" t="s">
        <v>434</v>
      </c>
      <c r="D249" s="147" t="s">
        <v>435</v>
      </c>
      <c r="E249" s="147" t="s">
        <v>297</v>
      </c>
      <c r="F249" s="147" t="s">
        <v>429</v>
      </c>
      <c r="G249" s="158">
        <f>5331-20</f>
        <v>5311</v>
      </c>
    </row>
    <row r="250" spans="1:7" ht="24">
      <c r="A250" s="153" t="s">
        <v>985</v>
      </c>
      <c r="B250" s="210" t="s">
        <v>372</v>
      </c>
      <c r="C250" s="147" t="s">
        <v>434</v>
      </c>
      <c r="D250" s="147" t="s">
        <v>435</v>
      </c>
      <c r="E250" s="147" t="s">
        <v>297</v>
      </c>
      <c r="F250" s="147" t="s">
        <v>986</v>
      </c>
      <c r="G250" s="155">
        <f>G251</f>
        <v>63</v>
      </c>
    </row>
    <row r="251" spans="1:7" ht="24">
      <c r="A251" s="153" t="s">
        <v>459</v>
      </c>
      <c r="B251" s="210" t="s">
        <v>372</v>
      </c>
      <c r="C251" s="147" t="s">
        <v>434</v>
      </c>
      <c r="D251" s="147" t="s">
        <v>435</v>
      </c>
      <c r="E251" s="147" t="s">
        <v>297</v>
      </c>
      <c r="F251" s="147" t="s">
        <v>460</v>
      </c>
      <c r="G251" s="158">
        <f>63</f>
        <v>63</v>
      </c>
    </row>
    <row r="252" spans="1:7" ht="48">
      <c r="A252" s="157" t="s">
        <v>313</v>
      </c>
      <c r="B252" s="210" t="s">
        <v>372</v>
      </c>
      <c r="C252" s="150" t="s">
        <v>434</v>
      </c>
      <c r="D252" s="150" t="s">
        <v>435</v>
      </c>
      <c r="E252" s="150" t="s">
        <v>299</v>
      </c>
      <c r="F252" s="150"/>
      <c r="G252" s="155">
        <f>G253</f>
        <v>68510</v>
      </c>
    </row>
    <row r="253" spans="1:7" ht="24">
      <c r="A253" s="157" t="s">
        <v>483</v>
      </c>
      <c r="B253" s="210" t="s">
        <v>372</v>
      </c>
      <c r="C253" s="150" t="s">
        <v>434</v>
      </c>
      <c r="D253" s="150" t="s">
        <v>435</v>
      </c>
      <c r="E253" s="150" t="s">
        <v>300</v>
      </c>
      <c r="F253" s="150"/>
      <c r="G253" s="155">
        <f>G254</f>
        <v>68510</v>
      </c>
    </row>
    <row r="254" spans="1:7" ht="24">
      <c r="A254" s="152" t="s">
        <v>490</v>
      </c>
      <c r="B254" s="210" t="s">
        <v>372</v>
      </c>
      <c r="C254" s="150" t="s">
        <v>434</v>
      </c>
      <c r="D254" s="150" t="s">
        <v>435</v>
      </c>
      <c r="E254" s="150" t="s">
        <v>300</v>
      </c>
      <c r="F254" s="150" t="s">
        <v>489</v>
      </c>
      <c r="G254" s="155">
        <f>G255</f>
        <v>68510</v>
      </c>
    </row>
    <row r="255" spans="1:7" ht="24">
      <c r="A255" s="157" t="s">
        <v>491</v>
      </c>
      <c r="B255" s="210" t="s">
        <v>372</v>
      </c>
      <c r="C255" s="150" t="s">
        <v>434</v>
      </c>
      <c r="D255" s="150" t="s">
        <v>435</v>
      </c>
      <c r="E255" s="150" t="s">
        <v>300</v>
      </c>
      <c r="F255" s="150" t="s">
        <v>574</v>
      </c>
      <c r="G255" s="158">
        <f>63230+G256+G257+1200</f>
        <v>68510</v>
      </c>
    </row>
    <row r="256" spans="1:7" ht="24">
      <c r="A256" s="157" t="s">
        <v>1321</v>
      </c>
      <c r="B256" s="210" t="s">
        <v>372</v>
      </c>
      <c r="C256" s="150" t="s">
        <v>434</v>
      </c>
      <c r="D256" s="150" t="s">
        <v>435</v>
      </c>
      <c r="E256" s="150" t="s">
        <v>300</v>
      </c>
      <c r="F256" s="150" t="s">
        <v>574</v>
      </c>
      <c r="G256" s="158">
        <v>200</v>
      </c>
    </row>
    <row r="257" spans="1:7" ht="24">
      <c r="A257" s="157" t="s">
        <v>1322</v>
      </c>
      <c r="B257" s="210" t="s">
        <v>372</v>
      </c>
      <c r="C257" s="150" t="s">
        <v>434</v>
      </c>
      <c r="D257" s="150" t="s">
        <v>435</v>
      </c>
      <c r="E257" s="150" t="s">
        <v>300</v>
      </c>
      <c r="F257" s="150" t="s">
        <v>574</v>
      </c>
      <c r="G257" s="158">
        <f>4300-420</f>
        <v>3880</v>
      </c>
    </row>
    <row r="258" spans="1:7" ht="48">
      <c r="A258" s="254" t="s">
        <v>219</v>
      </c>
      <c r="B258" s="210" t="s">
        <v>372</v>
      </c>
      <c r="C258" s="150" t="s">
        <v>434</v>
      </c>
      <c r="D258" s="150" t="s">
        <v>435</v>
      </c>
      <c r="E258" s="150" t="s">
        <v>220</v>
      </c>
      <c r="F258" s="150"/>
      <c r="G258" s="155">
        <f>G259</f>
        <v>23730</v>
      </c>
    </row>
    <row r="259" spans="1:7" ht="24">
      <c r="A259" s="157" t="s">
        <v>483</v>
      </c>
      <c r="B259" s="210" t="s">
        <v>372</v>
      </c>
      <c r="C259" s="150" t="s">
        <v>434</v>
      </c>
      <c r="D259" s="150" t="s">
        <v>435</v>
      </c>
      <c r="E259" s="150" t="s">
        <v>221</v>
      </c>
      <c r="F259" s="150"/>
      <c r="G259" s="155">
        <f>G260</f>
        <v>23730</v>
      </c>
    </row>
    <row r="260" spans="1:7" ht="24">
      <c r="A260" s="152" t="s">
        <v>490</v>
      </c>
      <c r="B260" s="210" t="s">
        <v>372</v>
      </c>
      <c r="C260" s="150" t="s">
        <v>434</v>
      </c>
      <c r="D260" s="150" t="s">
        <v>435</v>
      </c>
      <c r="E260" s="150" t="s">
        <v>221</v>
      </c>
      <c r="F260" s="150" t="s">
        <v>489</v>
      </c>
      <c r="G260" s="155">
        <f>G261</f>
        <v>23730</v>
      </c>
    </row>
    <row r="261" spans="1:7" ht="24">
      <c r="A261" s="157" t="s">
        <v>1125</v>
      </c>
      <c r="B261" s="210" t="s">
        <v>372</v>
      </c>
      <c r="C261" s="150" t="s">
        <v>434</v>
      </c>
      <c r="D261" s="150" t="s">
        <v>435</v>
      </c>
      <c r="E261" s="150" t="s">
        <v>221</v>
      </c>
      <c r="F261" s="150" t="s">
        <v>1126</v>
      </c>
      <c r="G261" s="158">
        <f>22603+1000+500-670+G262+270</f>
        <v>23730</v>
      </c>
    </row>
    <row r="262" spans="1:7" ht="36">
      <c r="A262" s="157" t="s">
        <v>1750</v>
      </c>
      <c r="B262" s="210" t="s">
        <v>372</v>
      </c>
      <c r="C262" s="150" t="s">
        <v>434</v>
      </c>
      <c r="D262" s="150" t="s">
        <v>435</v>
      </c>
      <c r="E262" s="150" t="s">
        <v>221</v>
      </c>
      <c r="F262" s="150" t="s">
        <v>1126</v>
      </c>
      <c r="G262" s="158">
        <v>27</v>
      </c>
    </row>
    <row r="263" spans="1:7" ht="15">
      <c r="A263" s="211" t="s">
        <v>34</v>
      </c>
      <c r="B263" s="210" t="s">
        <v>372</v>
      </c>
      <c r="C263" s="147" t="s">
        <v>433</v>
      </c>
      <c r="D263" s="147"/>
      <c r="E263" s="147"/>
      <c r="F263" s="147"/>
      <c r="G263" s="155">
        <f>G264</f>
        <v>67349</v>
      </c>
    </row>
    <row r="264" spans="1:7" ht="15">
      <c r="A264" s="162" t="s">
        <v>1085</v>
      </c>
      <c r="B264" s="210" t="s">
        <v>372</v>
      </c>
      <c r="C264" s="147" t="s">
        <v>433</v>
      </c>
      <c r="D264" s="147" t="s">
        <v>936</v>
      </c>
      <c r="E264" s="147"/>
      <c r="F264" s="147"/>
      <c r="G264" s="155">
        <f>G265</f>
        <v>67349</v>
      </c>
    </row>
    <row r="265" spans="1:7" ht="24">
      <c r="A265" s="181" t="s">
        <v>1417</v>
      </c>
      <c r="B265" s="210" t="s">
        <v>372</v>
      </c>
      <c r="C265" s="147" t="s">
        <v>433</v>
      </c>
      <c r="D265" s="147" t="s">
        <v>936</v>
      </c>
      <c r="E265" s="147" t="s">
        <v>3</v>
      </c>
      <c r="F265" s="147"/>
      <c r="G265" s="155">
        <f>G266</f>
        <v>67349</v>
      </c>
    </row>
    <row r="266" spans="1:7" ht="24">
      <c r="A266" s="157" t="s">
        <v>1749</v>
      </c>
      <c r="B266" s="210" t="s">
        <v>372</v>
      </c>
      <c r="C266" s="147" t="s">
        <v>433</v>
      </c>
      <c r="D266" s="147" t="s">
        <v>936</v>
      </c>
      <c r="E266" s="147" t="s">
        <v>8</v>
      </c>
      <c r="F266" s="147"/>
      <c r="G266" s="155">
        <f>G268</f>
        <v>67349</v>
      </c>
    </row>
    <row r="267" spans="1:7" ht="36">
      <c r="A267" s="157" t="s">
        <v>7</v>
      </c>
      <c r="B267" s="210" t="s">
        <v>372</v>
      </c>
      <c r="C267" s="147" t="s">
        <v>433</v>
      </c>
      <c r="D267" s="147" t="s">
        <v>936</v>
      </c>
      <c r="E267" s="147" t="s">
        <v>9</v>
      </c>
      <c r="F267" s="147"/>
      <c r="G267" s="155">
        <f>G268</f>
        <v>67349</v>
      </c>
    </row>
    <row r="268" spans="1:7" ht="48">
      <c r="A268" s="191" t="s">
        <v>681</v>
      </c>
      <c r="B268" s="210" t="s">
        <v>372</v>
      </c>
      <c r="C268" s="147" t="s">
        <v>433</v>
      </c>
      <c r="D268" s="147" t="s">
        <v>936</v>
      </c>
      <c r="E268" s="147" t="s">
        <v>10</v>
      </c>
      <c r="F268" s="147"/>
      <c r="G268" s="155">
        <f>G271+G269</f>
        <v>67349</v>
      </c>
    </row>
    <row r="269" spans="1:7" ht="24">
      <c r="A269" s="157" t="s">
        <v>1066</v>
      </c>
      <c r="B269" s="210" t="s">
        <v>372</v>
      </c>
      <c r="C269" s="147" t="s">
        <v>433</v>
      </c>
      <c r="D269" s="147" t="s">
        <v>936</v>
      </c>
      <c r="E269" s="147" t="s">
        <v>10</v>
      </c>
      <c r="F269" s="147" t="s">
        <v>529</v>
      </c>
      <c r="G269" s="155">
        <f>G270</f>
        <v>667</v>
      </c>
    </row>
    <row r="270" spans="1:7" ht="24">
      <c r="A270" s="157" t="s">
        <v>920</v>
      </c>
      <c r="B270" s="210" t="s">
        <v>372</v>
      </c>
      <c r="C270" s="147" t="s">
        <v>433</v>
      </c>
      <c r="D270" s="147" t="s">
        <v>936</v>
      </c>
      <c r="E270" s="147" t="s">
        <v>10</v>
      </c>
      <c r="F270" s="147" t="s">
        <v>429</v>
      </c>
      <c r="G270" s="158">
        <v>667</v>
      </c>
    </row>
    <row r="271" spans="1:7" ht="24">
      <c r="A271" s="153" t="s">
        <v>530</v>
      </c>
      <c r="B271" s="210" t="s">
        <v>372</v>
      </c>
      <c r="C271" s="147" t="s">
        <v>433</v>
      </c>
      <c r="D271" s="147" t="s">
        <v>936</v>
      </c>
      <c r="E271" s="147" t="s">
        <v>10</v>
      </c>
      <c r="F271" s="147" t="s">
        <v>531</v>
      </c>
      <c r="G271" s="155">
        <f>G272</f>
        <v>66682</v>
      </c>
    </row>
    <row r="272" spans="1:7" ht="24">
      <c r="A272" s="152" t="s">
        <v>171</v>
      </c>
      <c r="B272" s="210" t="s">
        <v>372</v>
      </c>
      <c r="C272" s="147" t="s">
        <v>433</v>
      </c>
      <c r="D272" s="147" t="s">
        <v>936</v>
      </c>
      <c r="E272" s="147" t="s">
        <v>10</v>
      </c>
      <c r="F272" s="147" t="s">
        <v>399</v>
      </c>
      <c r="G272" s="158">
        <f>66682</f>
        <v>66682</v>
      </c>
    </row>
    <row r="273" spans="1:7" ht="15.75">
      <c r="A273" s="291" t="s">
        <v>475</v>
      </c>
      <c r="B273" s="292" t="s">
        <v>476</v>
      </c>
      <c r="C273" s="293"/>
      <c r="D273" s="293"/>
      <c r="E273" s="293"/>
      <c r="F273" s="293"/>
      <c r="G273" s="294">
        <f>G274+G287+G333+G460</f>
        <v>1024517.1</v>
      </c>
    </row>
    <row r="274" spans="1:17" ht="15">
      <c r="A274" s="215" t="s">
        <v>939</v>
      </c>
      <c r="B274" s="210" t="s">
        <v>476</v>
      </c>
      <c r="C274" s="150" t="s">
        <v>936</v>
      </c>
      <c r="D274" s="146"/>
      <c r="E274" s="146"/>
      <c r="F274" s="146"/>
      <c r="G274" s="311">
        <f>G275</f>
        <v>426.2</v>
      </c>
      <c r="J274" s="61"/>
      <c r="K274" s="61"/>
      <c r="L274" s="10"/>
      <c r="M274" s="10"/>
      <c r="N274" s="10"/>
      <c r="O274" s="10"/>
      <c r="P274" s="10"/>
      <c r="Q274" s="10"/>
    </row>
    <row r="275" spans="1:17" ht="15">
      <c r="A275" s="156" t="s">
        <v>940</v>
      </c>
      <c r="B275" s="210" t="s">
        <v>476</v>
      </c>
      <c r="C275" s="150" t="s">
        <v>936</v>
      </c>
      <c r="D275" s="150" t="s">
        <v>433</v>
      </c>
      <c r="E275" s="146"/>
      <c r="F275" s="146"/>
      <c r="G275" s="311">
        <f>G276</f>
        <v>426.2</v>
      </c>
      <c r="J275" s="61"/>
      <c r="K275" s="61"/>
      <c r="L275" s="10"/>
      <c r="M275" s="10"/>
      <c r="N275" s="10"/>
      <c r="O275" s="10"/>
      <c r="P275" s="10"/>
      <c r="Q275" s="10"/>
    </row>
    <row r="276" spans="1:17" ht="24">
      <c r="A276" s="160" t="s">
        <v>1268</v>
      </c>
      <c r="B276" s="210" t="s">
        <v>476</v>
      </c>
      <c r="C276" s="150" t="s">
        <v>936</v>
      </c>
      <c r="D276" s="150" t="s">
        <v>433</v>
      </c>
      <c r="E276" s="150" t="s">
        <v>733</v>
      </c>
      <c r="F276" s="150"/>
      <c r="G276" s="311">
        <f>G277</f>
        <v>426.2</v>
      </c>
      <c r="J276" s="61"/>
      <c r="K276" s="61"/>
      <c r="L276" s="10"/>
      <c r="M276" s="10"/>
      <c r="N276" s="10"/>
      <c r="O276" s="10"/>
      <c r="P276" s="10"/>
      <c r="Q276" s="10"/>
    </row>
    <row r="277" spans="1:17" ht="48">
      <c r="A277" s="152" t="s">
        <v>1495</v>
      </c>
      <c r="B277" s="210" t="s">
        <v>476</v>
      </c>
      <c r="C277" s="150" t="s">
        <v>936</v>
      </c>
      <c r="D277" s="150" t="s">
        <v>433</v>
      </c>
      <c r="E277" s="150" t="s">
        <v>382</v>
      </c>
      <c r="F277" s="150"/>
      <c r="G277" s="311">
        <f>G278</f>
        <v>426.2</v>
      </c>
      <c r="J277" s="61"/>
      <c r="K277" s="61"/>
      <c r="L277" s="10"/>
      <c r="M277" s="10"/>
      <c r="N277" s="10"/>
      <c r="O277" s="10"/>
      <c r="P277" s="10"/>
      <c r="Q277" s="10"/>
    </row>
    <row r="278" spans="1:17" ht="36">
      <c r="A278" s="153" t="s">
        <v>1640</v>
      </c>
      <c r="B278" s="210" t="s">
        <v>476</v>
      </c>
      <c r="C278" s="150" t="s">
        <v>936</v>
      </c>
      <c r="D278" s="150" t="s">
        <v>433</v>
      </c>
      <c r="E278" s="147" t="s">
        <v>1641</v>
      </c>
      <c r="F278" s="147"/>
      <c r="G278" s="279">
        <f>G279+G283</f>
        <v>426.2</v>
      </c>
      <c r="J278" s="61"/>
      <c r="K278" s="61"/>
      <c r="L278" s="10"/>
      <c r="M278" s="10"/>
      <c r="N278" s="10"/>
      <c r="O278" s="10"/>
      <c r="P278" s="10"/>
      <c r="Q278" s="10"/>
    </row>
    <row r="279" spans="1:17" ht="48">
      <c r="A279" s="153" t="s">
        <v>1642</v>
      </c>
      <c r="B279" s="210" t="s">
        <v>476</v>
      </c>
      <c r="C279" s="150" t="s">
        <v>936</v>
      </c>
      <c r="D279" s="150" t="s">
        <v>433</v>
      </c>
      <c r="E279" s="147" t="s">
        <v>1643</v>
      </c>
      <c r="F279" s="147"/>
      <c r="G279" s="279">
        <f>G280</f>
        <v>404.9</v>
      </c>
      <c r="J279" s="61"/>
      <c r="K279" s="61"/>
      <c r="L279" s="10"/>
      <c r="M279" s="10"/>
      <c r="N279" s="10"/>
      <c r="O279" s="10"/>
      <c r="P279" s="10"/>
      <c r="Q279" s="10"/>
    </row>
    <row r="280" spans="1:17" ht="24">
      <c r="A280" s="152" t="s">
        <v>490</v>
      </c>
      <c r="B280" s="210" t="s">
        <v>476</v>
      </c>
      <c r="C280" s="150" t="s">
        <v>936</v>
      </c>
      <c r="D280" s="150" t="s">
        <v>433</v>
      </c>
      <c r="E280" s="147" t="s">
        <v>1643</v>
      </c>
      <c r="F280" s="147" t="s">
        <v>489</v>
      </c>
      <c r="G280" s="279">
        <f>G281</f>
        <v>404.9</v>
      </c>
      <c r="J280" s="61"/>
      <c r="K280" s="61"/>
      <c r="L280" s="10"/>
      <c r="M280" s="10"/>
      <c r="N280" s="10"/>
      <c r="O280" s="10"/>
      <c r="P280" s="10"/>
      <c r="Q280" s="10"/>
    </row>
    <row r="281" spans="1:17" ht="24">
      <c r="A281" s="157" t="s">
        <v>491</v>
      </c>
      <c r="B281" s="210" t="s">
        <v>476</v>
      </c>
      <c r="C281" s="150" t="s">
        <v>936</v>
      </c>
      <c r="D281" s="150" t="s">
        <v>433</v>
      </c>
      <c r="E281" s="147" t="s">
        <v>1643</v>
      </c>
      <c r="F281" s="147" t="s">
        <v>574</v>
      </c>
      <c r="G281" s="279">
        <f>G282</f>
        <v>404.9</v>
      </c>
      <c r="J281" s="61"/>
      <c r="K281" s="61"/>
      <c r="L281" s="10"/>
      <c r="M281" s="10"/>
      <c r="N281" s="10"/>
      <c r="O281" s="10"/>
      <c r="P281" s="10"/>
      <c r="Q281" s="10"/>
    </row>
    <row r="282" spans="1:17" ht="36">
      <c r="A282" s="153" t="s">
        <v>1644</v>
      </c>
      <c r="B282" s="210" t="s">
        <v>476</v>
      </c>
      <c r="C282" s="150" t="s">
        <v>936</v>
      </c>
      <c r="D282" s="150" t="s">
        <v>433</v>
      </c>
      <c r="E282" s="147" t="s">
        <v>1643</v>
      </c>
      <c r="F282" s="147" t="s">
        <v>574</v>
      </c>
      <c r="G282" s="158">
        <v>404.9</v>
      </c>
      <c r="J282" s="61"/>
      <c r="K282" s="61"/>
      <c r="L282" s="10"/>
      <c r="M282" s="10"/>
      <c r="N282" s="10"/>
      <c r="O282" s="10"/>
      <c r="P282" s="10"/>
      <c r="Q282" s="10"/>
    </row>
    <row r="283" spans="1:17" ht="60">
      <c r="A283" s="153" t="s">
        <v>1645</v>
      </c>
      <c r="B283" s="210" t="s">
        <v>476</v>
      </c>
      <c r="C283" s="150" t="s">
        <v>936</v>
      </c>
      <c r="D283" s="150" t="s">
        <v>433</v>
      </c>
      <c r="E283" s="147" t="s">
        <v>1646</v>
      </c>
      <c r="F283" s="147"/>
      <c r="G283" s="279">
        <f>G284</f>
        <v>21.3</v>
      </c>
      <c r="J283" s="61"/>
      <c r="K283" s="61"/>
      <c r="L283" s="10"/>
      <c r="M283" s="10"/>
      <c r="N283" s="10"/>
      <c r="O283" s="10"/>
      <c r="P283" s="10"/>
      <c r="Q283" s="10"/>
    </row>
    <row r="284" spans="1:17" ht="24">
      <c r="A284" s="152" t="s">
        <v>490</v>
      </c>
      <c r="B284" s="210" t="s">
        <v>476</v>
      </c>
      <c r="C284" s="150" t="s">
        <v>936</v>
      </c>
      <c r="D284" s="150" t="s">
        <v>433</v>
      </c>
      <c r="E284" s="147" t="s">
        <v>1646</v>
      </c>
      <c r="F284" s="147" t="s">
        <v>489</v>
      </c>
      <c r="G284" s="279">
        <f>G285</f>
        <v>21.3</v>
      </c>
      <c r="J284" s="61"/>
      <c r="K284" s="61"/>
      <c r="L284" s="10"/>
      <c r="M284" s="10"/>
      <c r="N284" s="10"/>
      <c r="O284" s="10"/>
      <c r="P284" s="10"/>
      <c r="Q284" s="10"/>
    </row>
    <row r="285" spans="1:17" ht="24">
      <c r="A285" s="157" t="s">
        <v>491</v>
      </c>
      <c r="B285" s="210" t="s">
        <v>476</v>
      </c>
      <c r="C285" s="150" t="s">
        <v>936</v>
      </c>
      <c r="D285" s="150" t="s">
        <v>433</v>
      </c>
      <c r="E285" s="147" t="s">
        <v>1646</v>
      </c>
      <c r="F285" s="147" t="s">
        <v>574</v>
      </c>
      <c r="G285" s="279">
        <f>G286</f>
        <v>21.3</v>
      </c>
      <c r="J285" s="61"/>
      <c r="K285" s="61"/>
      <c r="L285" s="10"/>
      <c r="M285" s="10"/>
      <c r="N285" s="10"/>
      <c r="O285" s="10"/>
      <c r="P285" s="10"/>
      <c r="Q285" s="10"/>
    </row>
    <row r="286" spans="1:17" ht="36">
      <c r="A286" s="153" t="s">
        <v>1644</v>
      </c>
      <c r="B286" s="210" t="s">
        <v>476</v>
      </c>
      <c r="C286" s="150" t="s">
        <v>936</v>
      </c>
      <c r="D286" s="150" t="s">
        <v>433</v>
      </c>
      <c r="E286" s="147" t="s">
        <v>1646</v>
      </c>
      <c r="F286" s="147" t="s">
        <v>574</v>
      </c>
      <c r="G286" s="158">
        <v>21.3</v>
      </c>
      <c r="J286" s="61"/>
      <c r="K286" s="61"/>
      <c r="L286" s="10"/>
      <c r="M286" s="10"/>
      <c r="N286" s="10"/>
      <c r="O286" s="10"/>
      <c r="P286" s="10"/>
      <c r="Q286" s="10"/>
    </row>
    <row r="287" spans="1:7" ht="15">
      <c r="A287" s="211" t="s">
        <v>937</v>
      </c>
      <c r="B287" s="210" t="s">
        <v>476</v>
      </c>
      <c r="C287" s="147" t="s">
        <v>434</v>
      </c>
      <c r="D287" s="178"/>
      <c r="E287" s="178"/>
      <c r="F287" s="178"/>
      <c r="G287" s="155">
        <f>G288+G294+G312</f>
        <v>214048.1</v>
      </c>
    </row>
    <row r="288" spans="1:7" ht="15">
      <c r="A288" s="156" t="s">
        <v>317</v>
      </c>
      <c r="B288" s="210" t="s">
        <v>476</v>
      </c>
      <c r="C288" s="147" t="s">
        <v>434</v>
      </c>
      <c r="D288" s="147" t="s">
        <v>405</v>
      </c>
      <c r="E288" s="147"/>
      <c r="F288" s="147"/>
      <c r="G288" s="155">
        <f>G289</f>
        <v>0</v>
      </c>
    </row>
    <row r="289" spans="1:7" ht="24">
      <c r="A289" s="181" t="s">
        <v>1417</v>
      </c>
      <c r="B289" s="210" t="s">
        <v>476</v>
      </c>
      <c r="C289" s="147" t="s">
        <v>434</v>
      </c>
      <c r="D289" s="147" t="s">
        <v>405</v>
      </c>
      <c r="E289" s="147" t="s">
        <v>3</v>
      </c>
      <c r="F289" s="147"/>
      <c r="G289" s="155">
        <f>G290</f>
        <v>0</v>
      </c>
    </row>
    <row r="290" spans="1:7" ht="24">
      <c r="A290" s="182" t="s">
        <v>1746</v>
      </c>
      <c r="B290" s="210" t="s">
        <v>476</v>
      </c>
      <c r="C290" s="147" t="s">
        <v>434</v>
      </c>
      <c r="D290" s="147" t="s">
        <v>405</v>
      </c>
      <c r="E290" s="147" t="s">
        <v>643</v>
      </c>
      <c r="F290" s="147"/>
      <c r="G290" s="155">
        <f>G291</f>
        <v>0</v>
      </c>
    </row>
    <row r="291" spans="1:7" ht="60">
      <c r="A291" s="157" t="s">
        <v>540</v>
      </c>
      <c r="B291" s="210" t="s">
        <v>476</v>
      </c>
      <c r="C291" s="147" t="s">
        <v>434</v>
      </c>
      <c r="D291" s="147" t="s">
        <v>405</v>
      </c>
      <c r="E291" s="147" t="s">
        <v>642</v>
      </c>
      <c r="F291" s="147"/>
      <c r="G291" s="155">
        <f>G292</f>
        <v>0</v>
      </c>
    </row>
    <row r="292" spans="1:7" ht="24">
      <c r="A292" s="152" t="s">
        <v>490</v>
      </c>
      <c r="B292" s="210" t="s">
        <v>476</v>
      </c>
      <c r="C292" s="147" t="s">
        <v>434</v>
      </c>
      <c r="D292" s="147" t="s">
        <v>405</v>
      </c>
      <c r="E292" s="147" t="s">
        <v>644</v>
      </c>
      <c r="F292" s="147" t="s">
        <v>489</v>
      </c>
      <c r="G292" s="155">
        <f>G293</f>
        <v>0</v>
      </c>
    </row>
    <row r="293" spans="1:7" ht="24">
      <c r="A293" s="157" t="s">
        <v>491</v>
      </c>
      <c r="B293" s="210" t="s">
        <v>476</v>
      </c>
      <c r="C293" s="147" t="s">
        <v>434</v>
      </c>
      <c r="D293" s="147" t="s">
        <v>405</v>
      </c>
      <c r="E293" s="147" t="s">
        <v>644</v>
      </c>
      <c r="F293" s="147" t="s">
        <v>574</v>
      </c>
      <c r="G293" s="158">
        <f>164591+1000-165591</f>
        <v>0</v>
      </c>
    </row>
    <row r="294" spans="1:7" ht="15">
      <c r="A294" s="162" t="s">
        <v>1534</v>
      </c>
      <c r="B294" s="210" t="s">
        <v>476</v>
      </c>
      <c r="C294" s="150" t="s">
        <v>434</v>
      </c>
      <c r="D294" s="150" t="s">
        <v>436</v>
      </c>
      <c r="E294" s="150"/>
      <c r="F294" s="150"/>
      <c r="G294" s="279">
        <f>G295</f>
        <v>175718.1</v>
      </c>
    </row>
    <row r="295" spans="1:7" ht="24">
      <c r="A295" s="164" t="s">
        <v>1416</v>
      </c>
      <c r="B295" s="210" t="s">
        <v>476</v>
      </c>
      <c r="C295" s="147" t="s">
        <v>434</v>
      </c>
      <c r="D295" s="147" t="s">
        <v>436</v>
      </c>
      <c r="E295" s="150" t="s">
        <v>3</v>
      </c>
      <c r="F295" s="150"/>
      <c r="G295" s="279">
        <f>G296</f>
        <v>175718.1</v>
      </c>
    </row>
    <row r="296" spans="1:7" ht="24">
      <c r="A296" s="152" t="s">
        <v>1746</v>
      </c>
      <c r="B296" s="210" t="s">
        <v>476</v>
      </c>
      <c r="C296" s="147" t="s">
        <v>434</v>
      </c>
      <c r="D296" s="147" t="s">
        <v>436</v>
      </c>
      <c r="E296" s="147" t="s">
        <v>643</v>
      </c>
      <c r="F296" s="150"/>
      <c r="G296" s="279">
        <f>G297+G307</f>
        <v>175718.1</v>
      </c>
    </row>
    <row r="297" spans="1:7" ht="60">
      <c r="A297" s="157" t="s">
        <v>540</v>
      </c>
      <c r="B297" s="210" t="s">
        <v>476</v>
      </c>
      <c r="C297" s="147" t="s">
        <v>434</v>
      </c>
      <c r="D297" s="147" t="s">
        <v>436</v>
      </c>
      <c r="E297" s="147" t="s">
        <v>642</v>
      </c>
      <c r="F297" s="147"/>
      <c r="G297" s="279">
        <f>G298+G301+G304</f>
        <v>175110</v>
      </c>
    </row>
    <row r="298" spans="1:7" ht="48">
      <c r="A298" s="326" t="s">
        <v>1767</v>
      </c>
      <c r="B298" s="210" t="s">
        <v>476</v>
      </c>
      <c r="C298" s="147" t="s">
        <v>434</v>
      </c>
      <c r="D298" s="147" t="s">
        <v>436</v>
      </c>
      <c r="E298" s="147" t="s">
        <v>1768</v>
      </c>
      <c r="F298" s="147"/>
      <c r="G298" s="325">
        <f>G299</f>
        <v>1750</v>
      </c>
    </row>
    <row r="299" spans="1:7" ht="24">
      <c r="A299" s="152" t="s">
        <v>490</v>
      </c>
      <c r="B299" s="210" t="s">
        <v>476</v>
      </c>
      <c r="C299" s="147" t="s">
        <v>434</v>
      </c>
      <c r="D299" s="147" t="s">
        <v>436</v>
      </c>
      <c r="E299" s="147" t="s">
        <v>1768</v>
      </c>
      <c r="F299" s="147" t="s">
        <v>489</v>
      </c>
      <c r="G299" s="325">
        <f>G300</f>
        <v>1750</v>
      </c>
    </row>
    <row r="300" spans="1:7" ht="24">
      <c r="A300" s="157" t="s">
        <v>573</v>
      </c>
      <c r="B300" s="210" t="s">
        <v>476</v>
      </c>
      <c r="C300" s="147" t="s">
        <v>434</v>
      </c>
      <c r="D300" s="147" t="s">
        <v>436</v>
      </c>
      <c r="E300" s="147" t="s">
        <v>1768</v>
      </c>
      <c r="F300" s="147" t="s">
        <v>574</v>
      </c>
      <c r="G300" s="158">
        <v>1750</v>
      </c>
    </row>
    <row r="301" spans="1:7" ht="36">
      <c r="A301" s="326" t="s">
        <v>1803</v>
      </c>
      <c r="B301" s="210" t="s">
        <v>476</v>
      </c>
      <c r="C301" s="147" t="s">
        <v>434</v>
      </c>
      <c r="D301" s="147" t="s">
        <v>436</v>
      </c>
      <c r="E301" s="147" t="s">
        <v>1804</v>
      </c>
      <c r="F301" s="147"/>
      <c r="G301" s="325">
        <f>G302</f>
        <v>130</v>
      </c>
    </row>
    <row r="302" spans="1:7" ht="24">
      <c r="A302" s="152" t="s">
        <v>490</v>
      </c>
      <c r="B302" s="210" t="s">
        <v>476</v>
      </c>
      <c r="C302" s="150" t="s">
        <v>434</v>
      </c>
      <c r="D302" s="147" t="s">
        <v>436</v>
      </c>
      <c r="E302" s="147" t="s">
        <v>1804</v>
      </c>
      <c r="F302" s="150" t="s">
        <v>489</v>
      </c>
      <c r="G302" s="325">
        <f>G303</f>
        <v>130</v>
      </c>
    </row>
    <row r="303" spans="1:7" ht="24">
      <c r="A303" s="157" t="s">
        <v>371</v>
      </c>
      <c r="B303" s="210" t="s">
        <v>476</v>
      </c>
      <c r="C303" s="150" t="s">
        <v>434</v>
      </c>
      <c r="D303" s="147" t="s">
        <v>436</v>
      </c>
      <c r="E303" s="147" t="s">
        <v>1804</v>
      </c>
      <c r="F303" s="150" t="s">
        <v>574</v>
      </c>
      <c r="G303" s="158">
        <v>130</v>
      </c>
    </row>
    <row r="304" spans="1:7" ht="24">
      <c r="A304" s="157" t="s">
        <v>641</v>
      </c>
      <c r="B304" s="210" t="s">
        <v>476</v>
      </c>
      <c r="C304" s="147" t="s">
        <v>434</v>
      </c>
      <c r="D304" s="147" t="s">
        <v>436</v>
      </c>
      <c r="E304" s="147" t="s">
        <v>644</v>
      </c>
      <c r="F304" s="147"/>
      <c r="G304" s="279">
        <f>G305</f>
        <v>173230</v>
      </c>
    </row>
    <row r="305" spans="1:7" ht="24">
      <c r="A305" s="152" t="s">
        <v>490</v>
      </c>
      <c r="B305" s="210" t="s">
        <v>476</v>
      </c>
      <c r="C305" s="150" t="s">
        <v>434</v>
      </c>
      <c r="D305" s="147" t="s">
        <v>436</v>
      </c>
      <c r="E305" s="147" t="s">
        <v>644</v>
      </c>
      <c r="F305" s="150" t="s">
        <v>489</v>
      </c>
      <c r="G305" s="279">
        <f>G306</f>
        <v>173230</v>
      </c>
    </row>
    <row r="306" spans="1:7" ht="24">
      <c r="A306" s="157" t="s">
        <v>371</v>
      </c>
      <c r="B306" s="210" t="s">
        <v>476</v>
      </c>
      <c r="C306" s="150" t="s">
        <v>434</v>
      </c>
      <c r="D306" s="147" t="s">
        <v>436</v>
      </c>
      <c r="E306" s="147" t="s">
        <v>644</v>
      </c>
      <c r="F306" s="150" t="s">
        <v>574</v>
      </c>
      <c r="G306" s="158">
        <f>165591-336+8105-130</f>
        <v>173230</v>
      </c>
    </row>
    <row r="307" spans="1:7" ht="24">
      <c r="A307" s="157" t="s">
        <v>1809</v>
      </c>
      <c r="B307" s="210" t="s">
        <v>476</v>
      </c>
      <c r="C307" s="150" t="s">
        <v>808</v>
      </c>
      <c r="D307" s="150" t="s">
        <v>436</v>
      </c>
      <c r="E307" s="147" t="s">
        <v>1810</v>
      </c>
      <c r="F307" s="150"/>
      <c r="G307" s="325">
        <f>G308</f>
        <v>608.1</v>
      </c>
    </row>
    <row r="308" spans="1:7" ht="24">
      <c r="A308" s="157" t="s">
        <v>641</v>
      </c>
      <c r="B308" s="210" t="s">
        <v>476</v>
      </c>
      <c r="C308" s="147" t="s">
        <v>434</v>
      </c>
      <c r="D308" s="147" t="s">
        <v>436</v>
      </c>
      <c r="E308" s="147" t="s">
        <v>1811</v>
      </c>
      <c r="F308" s="147"/>
      <c r="G308" s="325">
        <f>G309</f>
        <v>608.1</v>
      </c>
    </row>
    <row r="309" spans="1:7" ht="24">
      <c r="A309" s="152" t="s">
        <v>490</v>
      </c>
      <c r="B309" s="210" t="s">
        <v>476</v>
      </c>
      <c r="C309" s="150" t="s">
        <v>434</v>
      </c>
      <c r="D309" s="147" t="s">
        <v>436</v>
      </c>
      <c r="E309" s="147" t="s">
        <v>1811</v>
      </c>
      <c r="F309" s="150" t="s">
        <v>489</v>
      </c>
      <c r="G309" s="325">
        <f>G310</f>
        <v>608.1</v>
      </c>
    </row>
    <row r="310" spans="1:7" ht="24">
      <c r="A310" s="157" t="s">
        <v>491</v>
      </c>
      <c r="B310" s="210" t="s">
        <v>476</v>
      </c>
      <c r="C310" s="150" t="s">
        <v>434</v>
      </c>
      <c r="D310" s="147" t="s">
        <v>436</v>
      </c>
      <c r="E310" s="147" t="s">
        <v>1811</v>
      </c>
      <c r="F310" s="150" t="s">
        <v>574</v>
      </c>
      <c r="G310" s="158">
        <f>G311</f>
        <v>608.1</v>
      </c>
    </row>
    <row r="311" spans="1:7" ht="36">
      <c r="A311" s="157" t="s">
        <v>1812</v>
      </c>
      <c r="B311" s="210" t="s">
        <v>476</v>
      </c>
      <c r="C311" s="150" t="s">
        <v>434</v>
      </c>
      <c r="D311" s="147" t="s">
        <v>436</v>
      </c>
      <c r="E311" s="147" t="s">
        <v>1811</v>
      </c>
      <c r="F311" s="150" t="s">
        <v>574</v>
      </c>
      <c r="G311" s="158">
        <v>608.1</v>
      </c>
    </row>
    <row r="312" spans="1:7" ht="15">
      <c r="A312" s="156" t="s">
        <v>315</v>
      </c>
      <c r="B312" s="210" t="s">
        <v>476</v>
      </c>
      <c r="C312" s="147" t="s">
        <v>434</v>
      </c>
      <c r="D312" s="147" t="s">
        <v>434</v>
      </c>
      <c r="E312" s="147"/>
      <c r="F312" s="147"/>
      <c r="G312" s="155">
        <f>G313+G322</f>
        <v>38330</v>
      </c>
    </row>
    <row r="313" spans="1:7" ht="24">
      <c r="A313" s="164" t="s">
        <v>1416</v>
      </c>
      <c r="B313" s="210" t="s">
        <v>476</v>
      </c>
      <c r="C313" s="147" t="s">
        <v>434</v>
      </c>
      <c r="D313" s="147" t="s">
        <v>434</v>
      </c>
      <c r="E313" s="147" t="s">
        <v>3</v>
      </c>
      <c r="F313" s="147"/>
      <c r="G313" s="155">
        <f>G314</f>
        <v>1735</v>
      </c>
    </row>
    <row r="314" spans="1:7" ht="24">
      <c r="A314" s="152" t="s">
        <v>1746</v>
      </c>
      <c r="B314" s="210" t="s">
        <v>476</v>
      </c>
      <c r="C314" s="147" t="s">
        <v>434</v>
      </c>
      <c r="D314" s="147" t="s">
        <v>434</v>
      </c>
      <c r="E314" s="147" t="s">
        <v>643</v>
      </c>
      <c r="F314" s="147"/>
      <c r="G314" s="155">
        <f>G315</f>
        <v>1735</v>
      </c>
    </row>
    <row r="315" spans="1:7" ht="24">
      <c r="A315" s="152" t="s">
        <v>807</v>
      </c>
      <c r="B315" s="210" t="s">
        <v>476</v>
      </c>
      <c r="C315" s="147" t="s">
        <v>434</v>
      </c>
      <c r="D315" s="147" t="s">
        <v>434</v>
      </c>
      <c r="E315" s="147" t="s">
        <v>802</v>
      </c>
      <c r="F315" s="147"/>
      <c r="G315" s="155">
        <f>G316</f>
        <v>1735</v>
      </c>
    </row>
    <row r="316" spans="1:7" ht="36">
      <c r="A316" s="152" t="s">
        <v>1569</v>
      </c>
      <c r="B316" s="210" t="s">
        <v>476</v>
      </c>
      <c r="C316" s="147" t="s">
        <v>434</v>
      </c>
      <c r="D316" s="147" t="s">
        <v>434</v>
      </c>
      <c r="E316" s="147" t="s">
        <v>1432</v>
      </c>
      <c r="F316" s="147"/>
      <c r="G316" s="155">
        <f>G317</f>
        <v>1735</v>
      </c>
    </row>
    <row r="317" spans="1:7" ht="24">
      <c r="A317" s="152" t="s">
        <v>490</v>
      </c>
      <c r="B317" s="210" t="s">
        <v>476</v>
      </c>
      <c r="C317" s="147" t="s">
        <v>434</v>
      </c>
      <c r="D317" s="147" t="s">
        <v>434</v>
      </c>
      <c r="E317" s="147" t="s">
        <v>1432</v>
      </c>
      <c r="F317" s="147" t="s">
        <v>489</v>
      </c>
      <c r="G317" s="155">
        <f>G318+G320</f>
        <v>1735</v>
      </c>
    </row>
    <row r="318" spans="1:7" ht="24">
      <c r="A318" s="157" t="s">
        <v>491</v>
      </c>
      <c r="B318" s="210" t="s">
        <v>476</v>
      </c>
      <c r="C318" s="147" t="s">
        <v>434</v>
      </c>
      <c r="D318" s="147" t="s">
        <v>434</v>
      </c>
      <c r="E318" s="147" t="s">
        <v>1432</v>
      </c>
      <c r="F318" s="147" t="s">
        <v>574</v>
      </c>
      <c r="G318" s="155">
        <f>G319</f>
        <v>1500.5</v>
      </c>
    </row>
    <row r="319" spans="1:7" ht="24">
      <c r="A319" s="157" t="s">
        <v>1080</v>
      </c>
      <c r="B319" s="210" t="s">
        <v>476</v>
      </c>
      <c r="C319" s="147" t="s">
        <v>434</v>
      </c>
      <c r="D319" s="147" t="s">
        <v>434</v>
      </c>
      <c r="E319" s="147" t="s">
        <v>1432</v>
      </c>
      <c r="F319" s="147" t="s">
        <v>574</v>
      </c>
      <c r="G319" s="158">
        <f>1518+25-42.5</f>
        <v>1500.5</v>
      </c>
    </row>
    <row r="320" spans="1:7" ht="24">
      <c r="A320" s="157" t="s">
        <v>561</v>
      </c>
      <c r="B320" s="210" t="s">
        <v>476</v>
      </c>
      <c r="C320" s="147" t="s">
        <v>434</v>
      </c>
      <c r="D320" s="147" t="s">
        <v>434</v>
      </c>
      <c r="E320" s="147" t="s">
        <v>1432</v>
      </c>
      <c r="F320" s="147" t="s">
        <v>1126</v>
      </c>
      <c r="G320" s="279">
        <f>G321</f>
        <v>234.5</v>
      </c>
    </row>
    <row r="321" spans="1:7" ht="24">
      <c r="A321" s="157" t="s">
        <v>1080</v>
      </c>
      <c r="B321" s="210" t="s">
        <v>476</v>
      </c>
      <c r="C321" s="147" t="s">
        <v>434</v>
      </c>
      <c r="D321" s="147" t="s">
        <v>434</v>
      </c>
      <c r="E321" s="147" t="s">
        <v>1432</v>
      </c>
      <c r="F321" s="147" t="s">
        <v>1126</v>
      </c>
      <c r="G321" s="158">
        <f>192+42.5</f>
        <v>234.5</v>
      </c>
    </row>
    <row r="322" spans="1:7" ht="24">
      <c r="A322" s="164" t="s">
        <v>1319</v>
      </c>
      <c r="B322" s="210" t="s">
        <v>476</v>
      </c>
      <c r="C322" s="147" t="s">
        <v>434</v>
      </c>
      <c r="D322" s="147" t="s">
        <v>434</v>
      </c>
      <c r="E322" s="147" t="s">
        <v>739</v>
      </c>
      <c r="F322" s="147"/>
      <c r="G322" s="155">
        <f>G323+G329</f>
        <v>36595</v>
      </c>
    </row>
    <row r="323" spans="1:7" ht="24">
      <c r="A323" s="157" t="s">
        <v>1320</v>
      </c>
      <c r="B323" s="210" t="s">
        <v>476</v>
      </c>
      <c r="C323" s="147" t="s">
        <v>434</v>
      </c>
      <c r="D323" s="147" t="s">
        <v>434</v>
      </c>
      <c r="E323" s="147" t="s">
        <v>740</v>
      </c>
      <c r="F323" s="147"/>
      <c r="G323" s="155">
        <f>G325</f>
        <v>33595</v>
      </c>
    </row>
    <row r="324" spans="1:7" ht="24">
      <c r="A324" s="157" t="s">
        <v>738</v>
      </c>
      <c r="B324" s="210" t="s">
        <v>476</v>
      </c>
      <c r="C324" s="147" t="s">
        <v>434</v>
      </c>
      <c r="D324" s="147" t="s">
        <v>434</v>
      </c>
      <c r="E324" s="147" t="s">
        <v>741</v>
      </c>
      <c r="F324" s="147"/>
      <c r="G324" s="155">
        <f>G325</f>
        <v>33595</v>
      </c>
    </row>
    <row r="325" spans="1:7" ht="24">
      <c r="A325" s="152" t="s">
        <v>490</v>
      </c>
      <c r="B325" s="210" t="s">
        <v>476</v>
      </c>
      <c r="C325" s="147" t="s">
        <v>434</v>
      </c>
      <c r="D325" s="147" t="s">
        <v>434</v>
      </c>
      <c r="E325" s="147" t="s">
        <v>741</v>
      </c>
      <c r="F325" s="147" t="s">
        <v>489</v>
      </c>
      <c r="G325" s="155">
        <f>G326</f>
        <v>33595</v>
      </c>
    </row>
    <row r="326" spans="1:7" ht="24">
      <c r="A326" s="157" t="s">
        <v>491</v>
      </c>
      <c r="B326" s="210" t="s">
        <v>476</v>
      </c>
      <c r="C326" s="187" t="s">
        <v>434</v>
      </c>
      <c r="D326" s="187" t="s">
        <v>434</v>
      </c>
      <c r="E326" s="147" t="s">
        <v>741</v>
      </c>
      <c r="F326" s="187" t="s">
        <v>574</v>
      </c>
      <c r="G326" s="188">
        <f>32929-73+50-220+G327+G328</f>
        <v>33595</v>
      </c>
    </row>
    <row r="327" spans="1:7" ht="24">
      <c r="A327" s="157" t="s">
        <v>1748</v>
      </c>
      <c r="B327" s="210" t="s">
        <v>476</v>
      </c>
      <c r="C327" s="187" t="s">
        <v>434</v>
      </c>
      <c r="D327" s="187" t="s">
        <v>434</v>
      </c>
      <c r="E327" s="147" t="s">
        <v>741</v>
      </c>
      <c r="F327" s="187" t="s">
        <v>574</v>
      </c>
      <c r="G327" s="188">
        <v>502</v>
      </c>
    </row>
    <row r="328" spans="1:7" ht="36">
      <c r="A328" s="157" t="s">
        <v>1775</v>
      </c>
      <c r="B328" s="210" t="s">
        <v>476</v>
      </c>
      <c r="C328" s="147" t="s">
        <v>434</v>
      </c>
      <c r="D328" s="147" t="s">
        <v>434</v>
      </c>
      <c r="E328" s="147" t="s">
        <v>741</v>
      </c>
      <c r="F328" s="147" t="s">
        <v>574</v>
      </c>
      <c r="G328" s="158">
        <v>407</v>
      </c>
    </row>
    <row r="329" spans="1:7" ht="24">
      <c r="A329" s="186" t="s">
        <v>742</v>
      </c>
      <c r="B329" s="210" t="s">
        <v>476</v>
      </c>
      <c r="C329" s="187" t="s">
        <v>434</v>
      </c>
      <c r="D329" s="187" t="s">
        <v>434</v>
      </c>
      <c r="E329" s="147" t="s">
        <v>743</v>
      </c>
      <c r="F329" s="187"/>
      <c r="G329" s="192">
        <f>G330</f>
        <v>3000</v>
      </c>
    </row>
    <row r="330" spans="1:7" ht="24">
      <c r="A330" s="152" t="s">
        <v>490</v>
      </c>
      <c r="B330" s="210" t="s">
        <v>476</v>
      </c>
      <c r="C330" s="187" t="s">
        <v>434</v>
      </c>
      <c r="D330" s="187" t="s">
        <v>434</v>
      </c>
      <c r="E330" s="147" t="s">
        <v>743</v>
      </c>
      <c r="F330" s="187" t="s">
        <v>489</v>
      </c>
      <c r="G330" s="192">
        <f>G331</f>
        <v>3000</v>
      </c>
    </row>
    <row r="331" spans="1:7" ht="24">
      <c r="A331" s="186" t="s">
        <v>491</v>
      </c>
      <c r="B331" s="210" t="s">
        <v>476</v>
      </c>
      <c r="C331" s="187" t="s">
        <v>434</v>
      </c>
      <c r="D331" s="187" t="s">
        <v>434</v>
      </c>
      <c r="E331" s="147" t="s">
        <v>743</v>
      </c>
      <c r="F331" s="187" t="s">
        <v>574</v>
      </c>
      <c r="G331" s="192">
        <f>G332</f>
        <v>3000</v>
      </c>
    </row>
    <row r="332" spans="1:7" ht="24">
      <c r="A332" s="186" t="s">
        <v>522</v>
      </c>
      <c r="B332" s="210" t="s">
        <v>476</v>
      </c>
      <c r="C332" s="187" t="s">
        <v>434</v>
      </c>
      <c r="D332" s="187" t="s">
        <v>434</v>
      </c>
      <c r="E332" s="147" t="s">
        <v>743</v>
      </c>
      <c r="F332" s="187" t="s">
        <v>574</v>
      </c>
      <c r="G332" s="189">
        <f>3000</f>
        <v>3000</v>
      </c>
    </row>
    <row r="333" spans="1:7" ht="15">
      <c r="A333" s="211" t="s">
        <v>513</v>
      </c>
      <c r="B333" s="210" t="s">
        <v>476</v>
      </c>
      <c r="C333" s="147" t="s">
        <v>1170</v>
      </c>
      <c r="D333" s="147"/>
      <c r="E333" s="147"/>
      <c r="F333" s="147"/>
      <c r="G333" s="155">
        <f>G334+G439</f>
        <v>476394.3</v>
      </c>
    </row>
    <row r="334" spans="1:7" ht="15">
      <c r="A334" s="156" t="s">
        <v>408</v>
      </c>
      <c r="B334" s="210" t="s">
        <v>476</v>
      </c>
      <c r="C334" s="147" t="s">
        <v>1170</v>
      </c>
      <c r="D334" s="147" t="s">
        <v>1145</v>
      </c>
      <c r="E334" s="147"/>
      <c r="F334" s="147"/>
      <c r="G334" s="155">
        <f>G335+G422+G429</f>
        <v>416826.3</v>
      </c>
    </row>
    <row r="335" spans="1:7" ht="24">
      <c r="A335" s="181" t="s">
        <v>1326</v>
      </c>
      <c r="B335" s="210" t="s">
        <v>476</v>
      </c>
      <c r="C335" s="147" t="s">
        <v>1170</v>
      </c>
      <c r="D335" s="147" t="s">
        <v>1145</v>
      </c>
      <c r="E335" s="147" t="s">
        <v>361</v>
      </c>
      <c r="F335" s="147"/>
      <c r="G335" s="155">
        <f>G336+G346+G353+G363+G373+G384</f>
        <v>404426.3</v>
      </c>
    </row>
    <row r="336" spans="1:7" ht="24">
      <c r="A336" s="252" t="s">
        <v>1026</v>
      </c>
      <c r="B336" s="210" t="s">
        <v>476</v>
      </c>
      <c r="C336" s="147" t="s">
        <v>1170</v>
      </c>
      <c r="D336" s="147" t="s">
        <v>1145</v>
      </c>
      <c r="E336" s="147" t="s">
        <v>1178</v>
      </c>
      <c r="F336" s="147"/>
      <c r="G336" s="155">
        <f>G337+G340+G343</f>
        <v>6633</v>
      </c>
    </row>
    <row r="337" spans="1:7" ht="24">
      <c r="A337" s="326" t="s">
        <v>1762</v>
      </c>
      <c r="B337" s="210" t="s">
        <v>476</v>
      </c>
      <c r="C337" s="147" t="s">
        <v>1170</v>
      </c>
      <c r="D337" s="147" t="s">
        <v>1145</v>
      </c>
      <c r="E337" s="147" t="s">
        <v>1763</v>
      </c>
      <c r="F337" s="147"/>
      <c r="G337" s="155">
        <f>G338</f>
        <v>44</v>
      </c>
    </row>
    <row r="338" spans="1:7" ht="24">
      <c r="A338" s="152" t="s">
        <v>490</v>
      </c>
      <c r="B338" s="210" t="s">
        <v>476</v>
      </c>
      <c r="C338" s="147" t="s">
        <v>1170</v>
      </c>
      <c r="D338" s="147" t="s">
        <v>1145</v>
      </c>
      <c r="E338" s="147" t="s">
        <v>1763</v>
      </c>
      <c r="F338" s="147" t="s">
        <v>489</v>
      </c>
      <c r="G338" s="155">
        <f>G339</f>
        <v>44</v>
      </c>
    </row>
    <row r="339" spans="1:7" ht="24">
      <c r="A339" s="157" t="s">
        <v>371</v>
      </c>
      <c r="B339" s="210" t="s">
        <v>476</v>
      </c>
      <c r="C339" s="147" t="s">
        <v>1170</v>
      </c>
      <c r="D339" s="147" t="s">
        <v>1145</v>
      </c>
      <c r="E339" s="147" t="s">
        <v>1763</v>
      </c>
      <c r="F339" s="147" t="s">
        <v>574</v>
      </c>
      <c r="G339" s="158">
        <v>44</v>
      </c>
    </row>
    <row r="340" spans="1:7" ht="24">
      <c r="A340" s="326" t="s">
        <v>1798</v>
      </c>
      <c r="B340" s="210" t="s">
        <v>476</v>
      </c>
      <c r="C340" s="147" t="s">
        <v>1170</v>
      </c>
      <c r="D340" s="147" t="s">
        <v>1145</v>
      </c>
      <c r="E340" s="147" t="s">
        <v>1801</v>
      </c>
      <c r="F340" s="147"/>
      <c r="G340" s="155">
        <f>G341</f>
        <v>7</v>
      </c>
    </row>
    <row r="341" spans="1:7" ht="24">
      <c r="A341" s="152" t="s">
        <v>490</v>
      </c>
      <c r="B341" s="210" t="s">
        <v>476</v>
      </c>
      <c r="C341" s="147" t="s">
        <v>1170</v>
      </c>
      <c r="D341" s="147" t="s">
        <v>1145</v>
      </c>
      <c r="E341" s="147" t="s">
        <v>1801</v>
      </c>
      <c r="F341" s="147" t="s">
        <v>489</v>
      </c>
      <c r="G341" s="325">
        <f>G342</f>
        <v>7</v>
      </c>
    </row>
    <row r="342" spans="1:7" ht="24">
      <c r="A342" s="157" t="s">
        <v>371</v>
      </c>
      <c r="B342" s="210" t="s">
        <v>476</v>
      </c>
      <c r="C342" s="147" t="s">
        <v>1170</v>
      </c>
      <c r="D342" s="147" t="s">
        <v>1145</v>
      </c>
      <c r="E342" s="147" t="s">
        <v>1801</v>
      </c>
      <c r="F342" s="147" t="s">
        <v>574</v>
      </c>
      <c r="G342" s="158">
        <v>7</v>
      </c>
    </row>
    <row r="343" spans="1:7" ht="24">
      <c r="A343" s="252" t="s">
        <v>1034</v>
      </c>
      <c r="B343" s="210" t="s">
        <v>476</v>
      </c>
      <c r="C343" s="147" t="s">
        <v>1170</v>
      </c>
      <c r="D343" s="147" t="s">
        <v>1145</v>
      </c>
      <c r="E343" s="147" t="s">
        <v>1174</v>
      </c>
      <c r="F343" s="147"/>
      <c r="G343" s="155">
        <f>G344</f>
        <v>6582</v>
      </c>
    </row>
    <row r="344" spans="1:7" ht="24">
      <c r="A344" s="152" t="s">
        <v>490</v>
      </c>
      <c r="B344" s="210" t="s">
        <v>476</v>
      </c>
      <c r="C344" s="147" t="s">
        <v>1170</v>
      </c>
      <c r="D344" s="147" t="s">
        <v>1145</v>
      </c>
      <c r="E344" s="147" t="s">
        <v>1174</v>
      </c>
      <c r="F344" s="147" t="s">
        <v>489</v>
      </c>
      <c r="G344" s="155">
        <f>G345</f>
        <v>6582</v>
      </c>
    </row>
    <row r="345" spans="1:7" ht="24">
      <c r="A345" s="157" t="s">
        <v>371</v>
      </c>
      <c r="B345" s="210" t="s">
        <v>476</v>
      </c>
      <c r="C345" s="147" t="s">
        <v>1170</v>
      </c>
      <c r="D345" s="147" t="s">
        <v>1145</v>
      </c>
      <c r="E345" s="147" t="s">
        <v>1174</v>
      </c>
      <c r="F345" s="147" t="s">
        <v>574</v>
      </c>
      <c r="G345" s="158">
        <f>6373+50-34+200-7</f>
        <v>6582</v>
      </c>
    </row>
    <row r="346" spans="1:7" ht="24">
      <c r="A346" s="157" t="s">
        <v>1028</v>
      </c>
      <c r="B346" s="210" t="s">
        <v>476</v>
      </c>
      <c r="C346" s="147" t="s">
        <v>1170</v>
      </c>
      <c r="D346" s="147" t="s">
        <v>1145</v>
      </c>
      <c r="E346" s="147" t="s">
        <v>1177</v>
      </c>
      <c r="F346" s="147"/>
      <c r="G346" s="155">
        <f>G348</f>
        <v>12936.6</v>
      </c>
    </row>
    <row r="347" spans="1:7" ht="24">
      <c r="A347" s="157" t="s">
        <v>1035</v>
      </c>
      <c r="B347" s="210" t="s">
        <v>476</v>
      </c>
      <c r="C347" s="147" t="s">
        <v>1170</v>
      </c>
      <c r="D347" s="147" t="s">
        <v>1145</v>
      </c>
      <c r="E347" s="147" t="s">
        <v>1031</v>
      </c>
      <c r="F347" s="147"/>
      <c r="G347" s="155">
        <f>G348</f>
        <v>12936.6</v>
      </c>
    </row>
    <row r="348" spans="1:7" ht="24">
      <c r="A348" s="152" t="s">
        <v>490</v>
      </c>
      <c r="B348" s="210" t="s">
        <v>476</v>
      </c>
      <c r="C348" s="147" t="s">
        <v>1170</v>
      </c>
      <c r="D348" s="147" t="s">
        <v>1145</v>
      </c>
      <c r="E348" s="147" t="s">
        <v>1031</v>
      </c>
      <c r="F348" s="147" t="s">
        <v>489</v>
      </c>
      <c r="G348" s="155">
        <f>G349+G351</f>
        <v>12936.6</v>
      </c>
    </row>
    <row r="349" spans="1:7" ht="24">
      <c r="A349" s="157" t="s">
        <v>491</v>
      </c>
      <c r="B349" s="210" t="s">
        <v>476</v>
      </c>
      <c r="C349" s="147" t="s">
        <v>1170</v>
      </c>
      <c r="D349" s="147" t="s">
        <v>1145</v>
      </c>
      <c r="E349" s="147" t="s">
        <v>1031</v>
      </c>
      <c r="F349" s="147" t="s">
        <v>574</v>
      </c>
      <c r="G349" s="158">
        <f>G350</f>
        <v>12540</v>
      </c>
    </row>
    <row r="350" spans="1:7" ht="24">
      <c r="A350" s="157" t="s">
        <v>318</v>
      </c>
      <c r="B350" s="210" t="s">
        <v>476</v>
      </c>
      <c r="C350" s="147" t="s">
        <v>1170</v>
      </c>
      <c r="D350" s="147" t="s">
        <v>1145</v>
      </c>
      <c r="E350" s="147" t="s">
        <v>1031</v>
      </c>
      <c r="F350" s="147" t="s">
        <v>574</v>
      </c>
      <c r="G350" s="158">
        <f>5000+7600-100-50+90</f>
        <v>12540</v>
      </c>
    </row>
    <row r="351" spans="1:7" ht="24">
      <c r="A351" s="157" t="s">
        <v>561</v>
      </c>
      <c r="B351" s="210" t="s">
        <v>476</v>
      </c>
      <c r="C351" s="147" t="s">
        <v>1170</v>
      </c>
      <c r="D351" s="147" t="s">
        <v>1145</v>
      </c>
      <c r="E351" s="147" t="s">
        <v>1031</v>
      </c>
      <c r="F351" s="147" t="s">
        <v>1126</v>
      </c>
      <c r="G351" s="158">
        <f>G352</f>
        <v>396.6</v>
      </c>
    </row>
    <row r="352" spans="1:7" ht="24">
      <c r="A352" s="157" t="s">
        <v>1614</v>
      </c>
      <c r="B352" s="210" t="s">
        <v>476</v>
      </c>
      <c r="C352" s="147" t="s">
        <v>1170</v>
      </c>
      <c r="D352" s="147" t="s">
        <v>1145</v>
      </c>
      <c r="E352" s="147" t="s">
        <v>1031</v>
      </c>
      <c r="F352" s="147" t="s">
        <v>1126</v>
      </c>
      <c r="G352" s="158">
        <f>100+50+246.6</f>
        <v>396.6</v>
      </c>
    </row>
    <row r="353" spans="1:7" ht="24">
      <c r="A353" s="157" t="s">
        <v>1030</v>
      </c>
      <c r="B353" s="210" t="s">
        <v>476</v>
      </c>
      <c r="C353" s="147" t="s">
        <v>1170</v>
      </c>
      <c r="D353" s="147" t="s">
        <v>1145</v>
      </c>
      <c r="E353" s="147" t="s">
        <v>1033</v>
      </c>
      <c r="F353" s="147"/>
      <c r="G353" s="155">
        <f>G354+G357+G361</f>
        <v>232053</v>
      </c>
    </row>
    <row r="354" spans="1:7" ht="24">
      <c r="A354" s="326" t="s">
        <v>1762</v>
      </c>
      <c r="B354" s="210" t="s">
        <v>476</v>
      </c>
      <c r="C354" s="147" t="s">
        <v>1170</v>
      </c>
      <c r="D354" s="147" t="s">
        <v>1145</v>
      </c>
      <c r="E354" s="147" t="s">
        <v>1764</v>
      </c>
      <c r="F354" s="147"/>
      <c r="G354" s="155">
        <f>G355</f>
        <v>2254</v>
      </c>
    </row>
    <row r="355" spans="1:7" ht="24">
      <c r="A355" s="152" t="s">
        <v>490</v>
      </c>
      <c r="B355" s="210" t="s">
        <v>476</v>
      </c>
      <c r="C355" s="147" t="s">
        <v>1170</v>
      </c>
      <c r="D355" s="147" t="s">
        <v>1145</v>
      </c>
      <c r="E355" s="147" t="s">
        <v>1764</v>
      </c>
      <c r="F355" s="147" t="s">
        <v>489</v>
      </c>
      <c r="G355" s="155">
        <f>G356</f>
        <v>2254</v>
      </c>
    </row>
    <row r="356" spans="1:7" ht="24">
      <c r="A356" s="157" t="s">
        <v>371</v>
      </c>
      <c r="B356" s="210" t="s">
        <v>476</v>
      </c>
      <c r="C356" s="147" t="s">
        <v>1170</v>
      </c>
      <c r="D356" s="147" t="s">
        <v>1145</v>
      </c>
      <c r="E356" s="147" t="s">
        <v>1764</v>
      </c>
      <c r="F356" s="147" t="s">
        <v>574</v>
      </c>
      <c r="G356" s="158">
        <v>2254</v>
      </c>
    </row>
    <row r="357" spans="1:7" ht="24">
      <c r="A357" s="326" t="s">
        <v>1798</v>
      </c>
      <c r="B357" s="210" t="s">
        <v>476</v>
      </c>
      <c r="C357" s="147" t="s">
        <v>1170</v>
      </c>
      <c r="D357" s="147" t="s">
        <v>1145</v>
      </c>
      <c r="E357" s="147" t="s">
        <v>1799</v>
      </c>
      <c r="F357" s="147"/>
      <c r="G357" s="155">
        <f>G358</f>
        <v>338</v>
      </c>
    </row>
    <row r="358" spans="1:7" ht="24">
      <c r="A358" s="152" t="s">
        <v>490</v>
      </c>
      <c r="B358" s="210" t="s">
        <v>476</v>
      </c>
      <c r="C358" s="147" t="s">
        <v>1170</v>
      </c>
      <c r="D358" s="147" t="s">
        <v>1145</v>
      </c>
      <c r="E358" s="147" t="s">
        <v>1799</v>
      </c>
      <c r="F358" s="147" t="s">
        <v>489</v>
      </c>
      <c r="G358" s="155">
        <f>G359</f>
        <v>338</v>
      </c>
    </row>
    <row r="359" spans="1:7" ht="24">
      <c r="A359" s="157" t="s">
        <v>371</v>
      </c>
      <c r="B359" s="210" t="s">
        <v>476</v>
      </c>
      <c r="C359" s="147" t="s">
        <v>1170</v>
      </c>
      <c r="D359" s="147" t="s">
        <v>1145</v>
      </c>
      <c r="E359" s="147" t="s">
        <v>1799</v>
      </c>
      <c r="F359" s="147" t="s">
        <v>574</v>
      </c>
      <c r="G359" s="158">
        <v>338</v>
      </c>
    </row>
    <row r="360" spans="1:7" ht="24">
      <c r="A360" s="157" t="s">
        <v>1036</v>
      </c>
      <c r="B360" s="210" t="s">
        <v>476</v>
      </c>
      <c r="C360" s="147" t="s">
        <v>1170</v>
      </c>
      <c r="D360" s="147" t="s">
        <v>1145</v>
      </c>
      <c r="E360" s="147" t="s">
        <v>1032</v>
      </c>
      <c r="F360" s="147"/>
      <c r="G360" s="155">
        <f>G361</f>
        <v>229461</v>
      </c>
    </row>
    <row r="361" spans="1:7" ht="24">
      <c r="A361" s="152" t="s">
        <v>490</v>
      </c>
      <c r="B361" s="210" t="s">
        <v>476</v>
      </c>
      <c r="C361" s="147" t="s">
        <v>1170</v>
      </c>
      <c r="D361" s="147" t="s">
        <v>1145</v>
      </c>
      <c r="E361" s="147" t="s">
        <v>1032</v>
      </c>
      <c r="F361" s="147" t="s">
        <v>489</v>
      </c>
      <c r="G361" s="155">
        <f>G362</f>
        <v>229461</v>
      </c>
    </row>
    <row r="362" spans="1:7" ht="24">
      <c r="A362" s="157" t="s">
        <v>371</v>
      </c>
      <c r="B362" s="210" t="s">
        <v>476</v>
      </c>
      <c r="C362" s="147" t="s">
        <v>1170</v>
      </c>
      <c r="D362" s="147" t="s">
        <v>1145</v>
      </c>
      <c r="E362" s="147" t="s">
        <v>1032</v>
      </c>
      <c r="F362" s="147" t="s">
        <v>574</v>
      </c>
      <c r="G362" s="158">
        <f>224698-200+1000-1534+90+5745-338</f>
        <v>229461</v>
      </c>
    </row>
    <row r="363" spans="1:7" ht="24">
      <c r="A363" s="157" t="s">
        <v>350</v>
      </c>
      <c r="B363" s="210" t="s">
        <v>476</v>
      </c>
      <c r="C363" s="147" t="s">
        <v>1170</v>
      </c>
      <c r="D363" s="147" t="s">
        <v>1145</v>
      </c>
      <c r="E363" s="147" t="s">
        <v>1176</v>
      </c>
      <c r="F363" s="147"/>
      <c r="G363" s="155">
        <f>G364+G367+G370</f>
        <v>46473.7</v>
      </c>
    </row>
    <row r="364" spans="1:7" ht="24">
      <c r="A364" s="326" t="s">
        <v>1762</v>
      </c>
      <c r="B364" s="210" t="s">
        <v>476</v>
      </c>
      <c r="C364" s="147" t="s">
        <v>1170</v>
      </c>
      <c r="D364" s="147" t="s">
        <v>1145</v>
      </c>
      <c r="E364" s="147" t="s">
        <v>1765</v>
      </c>
      <c r="F364" s="147"/>
      <c r="G364" s="155">
        <f>G365</f>
        <v>407</v>
      </c>
    </row>
    <row r="365" spans="1:7" ht="24">
      <c r="A365" s="152" t="s">
        <v>490</v>
      </c>
      <c r="B365" s="210" t="s">
        <v>476</v>
      </c>
      <c r="C365" s="147" t="s">
        <v>1170</v>
      </c>
      <c r="D365" s="147" t="s">
        <v>1145</v>
      </c>
      <c r="E365" s="147" t="s">
        <v>1765</v>
      </c>
      <c r="F365" s="147" t="s">
        <v>489</v>
      </c>
      <c r="G365" s="155">
        <f>G366</f>
        <v>407</v>
      </c>
    </row>
    <row r="366" spans="1:7" ht="24">
      <c r="A366" s="157" t="s">
        <v>1125</v>
      </c>
      <c r="B366" s="210" t="s">
        <v>476</v>
      </c>
      <c r="C366" s="147" t="s">
        <v>1170</v>
      </c>
      <c r="D366" s="147" t="s">
        <v>1145</v>
      </c>
      <c r="E366" s="147" t="s">
        <v>1765</v>
      </c>
      <c r="F366" s="147" t="s">
        <v>1126</v>
      </c>
      <c r="G366" s="158">
        <v>407</v>
      </c>
    </row>
    <row r="367" spans="1:7" ht="24">
      <c r="A367" s="326" t="s">
        <v>1798</v>
      </c>
      <c r="B367" s="210" t="s">
        <v>476</v>
      </c>
      <c r="C367" s="147" t="s">
        <v>1170</v>
      </c>
      <c r="D367" s="147" t="s">
        <v>1145</v>
      </c>
      <c r="E367" s="147" t="s">
        <v>1802</v>
      </c>
      <c r="F367" s="147"/>
      <c r="G367" s="155">
        <f>G368</f>
        <v>61</v>
      </c>
    </row>
    <row r="368" spans="1:7" ht="24">
      <c r="A368" s="152" t="s">
        <v>490</v>
      </c>
      <c r="B368" s="210" t="s">
        <v>476</v>
      </c>
      <c r="C368" s="147" t="s">
        <v>1170</v>
      </c>
      <c r="D368" s="147" t="s">
        <v>1145</v>
      </c>
      <c r="E368" s="147" t="s">
        <v>1802</v>
      </c>
      <c r="F368" s="147" t="s">
        <v>489</v>
      </c>
      <c r="G368" s="155">
        <f>G369</f>
        <v>61</v>
      </c>
    </row>
    <row r="369" spans="1:7" ht="24">
      <c r="A369" s="157" t="s">
        <v>1125</v>
      </c>
      <c r="B369" s="210" t="s">
        <v>476</v>
      </c>
      <c r="C369" s="147" t="s">
        <v>1170</v>
      </c>
      <c r="D369" s="147" t="s">
        <v>1145</v>
      </c>
      <c r="E369" s="147" t="s">
        <v>1802</v>
      </c>
      <c r="F369" s="147" t="s">
        <v>1126</v>
      </c>
      <c r="G369" s="158">
        <v>61</v>
      </c>
    </row>
    <row r="370" spans="1:7" ht="24">
      <c r="A370" s="157" t="s">
        <v>351</v>
      </c>
      <c r="B370" s="210" t="s">
        <v>476</v>
      </c>
      <c r="C370" s="147" t="s">
        <v>1170</v>
      </c>
      <c r="D370" s="147" t="s">
        <v>1145</v>
      </c>
      <c r="E370" s="147" t="s">
        <v>1175</v>
      </c>
      <c r="F370" s="147"/>
      <c r="G370" s="155">
        <f>G371</f>
        <v>46005.7</v>
      </c>
    </row>
    <row r="371" spans="1:7" ht="24">
      <c r="A371" s="152" t="s">
        <v>490</v>
      </c>
      <c r="B371" s="210" t="s">
        <v>476</v>
      </c>
      <c r="C371" s="147" t="s">
        <v>1170</v>
      </c>
      <c r="D371" s="147" t="s">
        <v>1145</v>
      </c>
      <c r="E371" s="147" t="s">
        <v>1175</v>
      </c>
      <c r="F371" s="147" t="s">
        <v>489</v>
      </c>
      <c r="G371" s="155">
        <f>G372</f>
        <v>46005.7</v>
      </c>
    </row>
    <row r="372" spans="1:7" ht="24">
      <c r="A372" s="157" t="s">
        <v>1125</v>
      </c>
      <c r="B372" s="210" t="s">
        <v>476</v>
      </c>
      <c r="C372" s="147" t="s">
        <v>1170</v>
      </c>
      <c r="D372" s="147" t="s">
        <v>1145</v>
      </c>
      <c r="E372" s="147" t="s">
        <v>1175</v>
      </c>
      <c r="F372" s="147" t="s">
        <v>1126</v>
      </c>
      <c r="G372" s="158">
        <f>43571-249+545-1060.3+3000+260-61</f>
        <v>46005.7</v>
      </c>
    </row>
    <row r="373" spans="1:7" ht="24">
      <c r="A373" s="152" t="s">
        <v>1324</v>
      </c>
      <c r="B373" s="210" t="s">
        <v>476</v>
      </c>
      <c r="C373" s="147" t="s">
        <v>1170</v>
      </c>
      <c r="D373" s="147" t="s">
        <v>1145</v>
      </c>
      <c r="E373" s="147" t="s">
        <v>354</v>
      </c>
      <c r="F373" s="147"/>
      <c r="G373" s="155">
        <f>G374</f>
        <v>61539.7</v>
      </c>
    </row>
    <row r="374" spans="1:7" ht="36">
      <c r="A374" s="152" t="s">
        <v>352</v>
      </c>
      <c r="B374" s="210" t="s">
        <v>476</v>
      </c>
      <c r="C374" s="147" t="s">
        <v>1170</v>
      </c>
      <c r="D374" s="147" t="s">
        <v>1145</v>
      </c>
      <c r="E374" s="147" t="s">
        <v>355</v>
      </c>
      <c r="F374" s="147"/>
      <c r="G374" s="155">
        <f>G375+G378+G381</f>
        <v>61539.7</v>
      </c>
    </row>
    <row r="375" spans="1:7" ht="24">
      <c r="A375" s="326" t="s">
        <v>1762</v>
      </c>
      <c r="B375" s="210" t="s">
        <v>476</v>
      </c>
      <c r="C375" s="147" t="s">
        <v>1170</v>
      </c>
      <c r="D375" s="147" t="s">
        <v>1145</v>
      </c>
      <c r="E375" s="147" t="s">
        <v>1766</v>
      </c>
      <c r="F375" s="147"/>
      <c r="G375" s="155">
        <f>G376</f>
        <v>498</v>
      </c>
    </row>
    <row r="376" spans="1:7" ht="24">
      <c r="A376" s="152" t="s">
        <v>490</v>
      </c>
      <c r="B376" s="210" t="s">
        <v>476</v>
      </c>
      <c r="C376" s="147" t="s">
        <v>1170</v>
      </c>
      <c r="D376" s="147" t="s">
        <v>1145</v>
      </c>
      <c r="E376" s="147" t="s">
        <v>1766</v>
      </c>
      <c r="F376" s="147" t="s">
        <v>489</v>
      </c>
      <c r="G376" s="155">
        <f>G377</f>
        <v>498</v>
      </c>
    </row>
    <row r="377" spans="1:7" ht="24">
      <c r="A377" s="157" t="s">
        <v>371</v>
      </c>
      <c r="B377" s="210" t="s">
        <v>476</v>
      </c>
      <c r="C377" s="147" t="s">
        <v>1170</v>
      </c>
      <c r="D377" s="147" t="s">
        <v>1145</v>
      </c>
      <c r="E377" s="147" t="s">
        <v>1766</v>
      </c>
      <c r="F377" s="147" t="s">
        <v>574</v>
      </c>
      <c r="G377" s="158">
        <v>498</v>
      </c>
    </row>
    <row r="378" spans="1:7" ht="24">
      <c r="A378" s="326" t="s">
        <v>1798</v>
      </c>
      <c r="B378" s="210" t="s">
        <v>476</v>
      </c>
      <c r="C378" s="147" t="s">
        <v>1170</v>
      </c>
      <c r="D378" s="147" t="s">
        <v>1145</v>
      </c>
      <c r="E378" s="147" t="s">
        <v>1800</v>
      </c>
      <c r="F378" s="147"/>
      <c r="G378" s="325">
        <f>G379</f>
        <v>75</v>
      </c>
    </row>
    <row r="379" spans="1:7" ht="24">
      <c r="A379" s="152" t="s">
        <v>490</v>
      </c>
      <c r="B379" s="210" t="s">
        <v>476</v>
      </c>
      <c r="C379" s="147" t="s">
        <v>1170</v>
      </c>
      <c r="D379" s="147" t="s">
        <v>1145</v>
      </c>
      <c r="E379" s="147" t="s">
        <v>1800</v>
      </c>
      <c r="F379" s="147" t="s">
        <v>489</v>
      </c>
      <c r="G379" s="325">
        <f>G380</f>
        <v>75</v>
      </c>
    </row>
    <row r="380" spans="1:7" ht="24">
      <c r="A380" s="157" t="s">
        <v>371</v>
      </c>
      <c r="B380" s="210" t="s">
        <v>476</v>
      </c>
      <c r="C380" s="147" t="s">
        <v>1170</v>
      </c>
      <c r="D380" s="147" t="s">
        <v>1145</v>
      </c>
      <c r="E380" s="147" t="s">
        <v>1800</v>
      </c>
      <c r="F380" s="147" t="s">
        <v>574</v>
      </c>
      <c r="G380" s="158">
        <v>75</v>
      </c>
    </row>
    <row r="381" spans="1:7" ht="24">
      <c r="A381" s="152" t="s">
        <v>353</v>
      </c>
      <c r="B381" s="210" t="s">
        <v>476</v>
      </c>
      <c r="C381" s="147" t="s">
        <v>1170</v>
      </c>
      <c r="D381" s="147" t="s">
        <v>1145</v>
      </c>
      <c r="E381" s="147" t="s">
        <v>356</v>
      </c>
      <c r="F381" s="147"/>
      <c r="G381" s="155">
        <f>G382</f>
        <v>60966.7</v>
      </c>
    </row>
    <row r="382" spans="1:7" ht="24">
      <c r="A382" s="152" t="s">
        <v>490</v>
      </c>
      <c r="B382" s="210" t="s">
        <v>476</v>
      </c>
      <c r="C382" s="147" t="s">
        <v>1170</v>
      </c>
      <c r="D382" s="147" t="s">
        <v>1145</v>
      </c>
      <c r="E382" s="147" t="s">
        <v>356</v>
      </c>
      <c r="F382" s="147" t="s">
        <v>489</v>
      </c>
      <c r="G382" s="155">
        <f>G383</f>
        <v>60966.7</v>
      </c>
    </row>
    <row r="383" spans="1:7" ht="24">
      <c r="A383" s="157" t="s">
        <v>371</v>
      </c>
      <c r="B383" s="210" t="s">
        <v>476</v>
      </c>
      <c r="C383" s="147" t="s">
        <v>1170</v>
      </c>
      <c r="D383" s="147" t="s">
        <v>1145</v>
      </c>
      <c r="E383" s="147" t="s">
        <v>356</v>
      </c>
      <c r="F383" s="147" t="s">
        <v>574</v>
      </c>
      <c r="G383" s="158">
        <f>61322-260+400-399-21.3-75</f>
        <v>60966.7</v>
      </c>
    </row>
    <row r="384" spans="1:7" ht="36">
      <c r="A384" s="157" t="s">
        <v>1325</v>
      </c>
      <c r="B384" s="210" t="s">
        <v>476</v>
      </c>
      <c r="C384" s="147" t="s">
        <v>1170</v>
      </c>
      <c r="D384" s="147" t="s">
        <v>1145</v>
      </c>
      <c r="E384" s="147" t="s">
        <v>1037</v>
      </c>
      <c r="F384" s="147"/>
      <c r="G384" s="155">
        <f>G385+G392+G401+G419</f>
        <v>44790.3</v>
      </c>
    </row>
    <row r="385" spans="1:7" ht="24">
      <c r="A385" s="152" t="s">
        <v>357</v>
      </c>
      <c r="B385" s="210" t="s">
        <v>476</v>
      </c>
      <c r="C385" s="147" t="s">
        <v>1170</v>
      </c>
      <c r="D385" s="147" t="s">
        <v>1145</v>
      </c>
      <c r="E385" s="147" t="s">
        <v>1038</v>
      </c>
      <c r="F385" s="147"/>
      <c r="G385" s="316">
        <f>G386</f>
        <v>3275</v>
      </c>
    </row>
    <row r="386" spans="1:7" ht="24">
      <c r="A386" s="157" t="s">
        <v>360</v>
      </c>
      <c r="B386" s="210" t="s">
        <v>476</v>
      </c>
      <c r="C386" s="147" t="s">
        <v>1170</v>
      </c>
      <c r="D386" s="147" t="s">
        <v>1145</v>
      </c>
      <c r="E386" s="147" t="s">
        <v>1039</v>
      </c>
      <c r="F386" s="147"/>
      <c r="G386" s="155">
        <f>G387</f>
        <v>3275</v>
      </c>
    </row>
    <row r="387" spans="1:7" ht="24">
      <c r="A387" s="152" t="s">
        <v>490</v>
      </c>
      <c r="B387" s="210" t="s">
        <v>476</v>
      </c>
      <c r="C387" s="147" t="s">
        <v>1170</v>
      </c>
      <c r="D387" s="147" t="s">
        <v>1145</v>
      </c>
      <c r="E387" s="147" t="s">
        <v>1039</v>
      </c>
      <c r="F387" s="147" t="s">
        <v>489</v>
      </c>
      <c r="G387" s="155">
        <f>G388+G390</f>
        <v>3275</v>
      </c>
    </row>
    <row r="388" spans="1:7" ht="24">
      <c r="A388" s="157" t="s">
        <v>491</v>
      </c>
      <c r="B388" s="210" t="s">
        <v>476</v>
      </c>
      <c r="C388" s="147" t="s">
        <v>1170</v>
      </c>
      <c r="D388" s="147" t="s">
        <v>1145</v>
      </c>
      <c r="E388" s="147" t="s">
        <v>1039</v>
      </c>
      <c r="F388" s="147" t="s">
        <v>574</v>
      </c>
      <c r="G388" s="155">
        <f>G389</f>
        <v>2700</v>
      </c>
    </row>
    <row r="389" spans="1:7" ht="24">
      <c r="A389" s="157" t="s">
        <v>1615</v>
      </c>
      <c r="B389" s="210" t="s">
        <v>476</v>
      </c>
      <c r="C389" s="147" t="s">
        <v>1170</v>
      </c>
      <c r="D389" s="147" t="s">
        <v>1145</v>
      </c>
      <c r="E389" s="147" t="s">
        <v>1039</v>
      </c>
      <c r="F389" s="147" t="s">
        <v>574</v>
      </c>
      <c r="G389" s="158">
        <v>2700</v>
      </c>
    </row>
    <row r="390" spans="1:7" ht="24">
      <c r="A390" s="157" t="s">
        <v>561</v>
      </c>
      <c r="B390" s="210" t="s">
        <v>476</v>
      </c>
      <c r="C390" s="147" t="s">
        <v>1170</v>
      </c>
      <c r="D390" s="147" t="s">
        <v>1145</v>
      </c>
      <c r="E390" s="147" t="s">
        <v>1039</v>
      </c>
      <c r="F390" s="147" t="s">
        <v>1126</v>
      </c>
      <c r="G390" s="306">
        <f>G391</f>
        <v>575</v>
      </c>
    </row>
    <row r="391" spans="1:7" ht="36">
      <c r="A391" s="157" t="s">
        <v>1691</v>
      </c>
      <c r="B391" s="210" t="s">
        <v>476</v>
      </c>
      <c r="C391" s="147" t="s">
        <v>1170</v>
      </c>
      <c r="D391" s="147" t="s">
        <v>1145</v>
      </c>
      <c r="E391" s="147" t="s">
        <v>1039</v>
      </c>
      <c r="F391" s="147" t="s">
        <v>1126</v>
      </c>
      <c r="G391" s="158">
        <v>575</v>
      </c>
    </row>
    <row r="392" spans="1:7" ht="24">
      <c r="A392" s="152" t="s">
        <v>951</v>
      </c>
      <c r="B392" s="210" t="s">
        <v>476</v>
      </c>
      <c r="C392" s="147" t="s">
        <v>1170</v>
      </c>
      <c r="D392" s="147" t="s">
        <v>1145</v>
      </c>
      <c r="E392" s="147" t="s">
        <v>1040</v>
      </c>
      <c r="F392" s="147"/>
      <c r="G392" s="279">
        <f>G393</f>
        <v>2675.3</v>
      </c>
    </row>
    <row r="393" spans="1:7" ht="24">
      <c r="A393" s="157" t="s">
        <v>952</v>
      </c>
      <c r="B393" s="210" t="s">
        <v>476</v>
      </c>
      <c r="C393" s="147" t="s">
        <v>1170</v>
      </c>
      <c r="D393" s="147" t="s">
        <v>1145</v>
      </c>
      <c r="E393" s="147" t="s">
        <v>1041</v>
      </c>
      <c r="F393" s="147"/>
      <c r="G393" s="279">
        <f>G394</f>
        <v>2675.3</v>
      </c>
    </row>
    <row r="394" spans="1:7" ht="24">
      <c r="A394" s="152" t="s">
        <v>490</v>
      </c>
      <c r="B394" s="210" t="s">
        <v>476</v>
      </c>
      <c r="C394" s="147" t="s">
        <v>1170</v>
      </c>
      <c r="D394" s="147" t="s">
        <v>1145</v>
      </c>
      <c r="E394" s="147" t="s">
        <v>1041</v>
      </c>
      <c r="F394" s="147" t="s">
        <v>489</v>
      </c>
      <c r="G394" s="279">
        <f>G398+G395</f>
        <v>2675.3</v>
      </c>
    </row>
    <row r="395" spans="1:7" ht="24">
      <c r="A395" s="157" t="s">
        <v>491</v>
      </c>
      <c r="B395" s="210" t="s">
        <v>476</v>
      </c>
      <c r="C395" s="147" t="s">
        <v>1170</v>
      </c>
      <c r="D395" s="147" t="s">
        <v>1145</v>
      </c>
      <c r="E395" s="147" t="s">
        <v>1041</v>
      </c>
      <c r="F395" s="147" t="s">
        <v>574</v>
      </c>
      <c r="G395" s="279">
        <f>G396+G397</f>
        <v>1125</v>
      </c>
    </row>
    <row r="396" spans="1:7" ht="24">
      <c r="A396" s="157" t="s">
        <v>1692</v>
      </c>
      <c r="B396" s="210" t="s">
        <v>476</v>
      </c>
      <c r="C396" s="147" t="s">
        <v>1170</v>
      </c>
      <c r="D396" s="147" t="s">
        <v>1145</v>
      </c>
      <c r="E396" s="147" t="s">
        <v>1041</v>
      </c>
      <c r="F396" s="147" t="s">
        <v>574</v>
      </c>
      <c r="G396" s="158">
        <f>152+13</f>
        <v>165</v>
      </c>
    </row>
    <row r="397" spans="1:7" ht="24">
      <c r="A397" s="157" t="s">
        <v>1761</v>
      </c>
      <c r="B397" s="210" t="s">
        <v>476</v>
      </c>
      <c r="C397" s="147" t="s">
        <v>1170</v>
      </c>
      <c r="D397" s="147" t="s">
        <v>1145</v>
      </c>
      <c r="E397" s="147" t="s">
        <v>1041</v>
      </c>
      <c r="F397" s="147" t="s">
        <v>1126</v>
      </c>
      <c r="G397" s="158">
        <v>960</v>
      </c>
    </row>
    <row r="398" spans="1:7" ht="24">
      <c r="A398" s="157" t="s">
        <v>561</v>
      </c>
      <c r="B398" s="210" t="s">
        <v>476</v>
      </c>
      <c r="C398" s="147" t="s">
        <v>1170</v>
      </c>
      <c r="D398" s="147" t="s">
        <v>1145</v>
      </c>
      <c r="E398" s="147" t="s">
        <v>1041</v>
      </c>
      <c r="F398" s="147" t="s">
        <v>1126</v>
      </c>
      <c r="G398" s="279">
        <f>G399+G400</f>
        <v>1550.3</v>
      </c>
    </row>
    <row r="399" spans="1:7" ht="24">
      <c r="A399" s="157" t="s">
        <v>1693</v>
      </c>
      <c r="B399" s="210" t="s">
        <v>476</v>
      </c>
      <c r="C399" s="147" t="s">
        <v>1170</v>
      </c>
      <c r="D399" s="147" t="s">
        <v>1145</v>
      </c>
      <c r="E399" s="147" t="s">
        <v>1041</v>
      </c>
      <c r="F399" s="147" t="s">
        <v>1126</v>
      </c>
      <c r="G399" s="158">
        <v>490</v>
      </c>
    </row>
    <row r="400" spans="1:7" ht="24">
      <c r="A400" s="157" t="s">
        <v>1716</v>
      </c>
      <c r="B400" s="210" t="s">
        <v>476</v>
      </c>
      <c r="C400" s="147" t="s">
        <v>1170</v>
      </c>
      <c r="D400" s="147" t="s">
        <v>1145</v>
      </c>
      <c r="E400" s="147" t="s">
        <v>1041</v>
      </c>
      <c r="F400" s="147" t="s">
        <v>1126</v>
      </c>
      <c r="G400" s="158">
        <f>387+673.3</f>
        <v>1060.3</v>
      </c>
    </row>
    <row r="401" spans="1:7" ht="24">
      <c r="A401" s="157" t="s">
        <v>1232</v>
      </c>
      <c r="B401" s="210" t="s">
        <v>476</v>
      </c>
      <c r="C401" s="147" t="s">
        <v>1170</v>
      </c>
      <c r="D401" s="147" t="s">
        <v>1145</v>
      </c>
      <c r="E401" s="147" t="s">
        <v>1233</v>
      </c>
      <c r="F401" s="147"/>
      <c r="G401" s="279">
        <f>G402+G410+G406+G415</f>
        <v>38840</v>
      </c>
    </row>
    <row r="402" spans="1:7" ht="24">
      <c r="A402" s="157" t="s">
        <v>1265</v>
      </c>
      <c r="B402" s="210" t="s">
        <v>476</v>
      </c>
      <c r="C402" s="147" t="s">
        <v>1170</v>
      </c>
      <c r="D402" s="147" t="s">
        <v>1145</v>
      </c>
      <c r="E402" s="147" t="s">
        <v>1751</v>
      </c>
      <c r="F402" s="147"/>
      <c r="G402" s="279">
        <f>G403</f>
        <v>14000</v>
      </c>
    </row>
    <row r="403" spans="1:7" ht="24">
      <c r="A403" s="152" t="s">
        <v>490</v>
      </c>
      <c r="B403" s="210" t="s">
        <v>476</v>
      </c>
      <c r="C403" s="147" t="s">
        <v>1170</v>
      </c>
      <c r="D403" s="147" t="s">
        <v>1145</v>
      </c>
      <c r="E403" s="147" t="s">
        <v>1751</v>
      </c>
      <c r="F403" s="147" t="s">
        <v>489</v>
      </c>
      <c r="G403" s="279">
        <f>G404</f>
        <v>14000</v>
      </c>
    </row>
    <row r="404" spans="1:7" ht="24">
      <c r="A404" s="157" t="s">
        <v>561</v>
      </c>
      <c r="B404" s="210" t="s">
        <v>476</v>
      </c>
      <c r="C404" s="147" t="s">
        <v>1170</v>
      </c>
      <c r="D404" s="147" t="s">
        <v>1145</v>
      </c>
      <c r="E404" s="147" t="s">
        <v>1751</v>
      </c>
      <c r="F404" s="147" t="s">
        <v>1126</v>
      </c>
      <c r="G404" s="279">
        <f>G405</f>
        <v>14000</v>
      </c>
    </row>
    <row r="405" spans="1:7" ht="24">
      <c r="A405" s="157" t="s">
        <v>1572</v>
      </c>
      <c r="B405" s="210" t="s">
        <v>476</v>
      </c>
      <c r="C405" s="147" t="s">
        <v>1170</v>
      </c>
      <c r="D405" s="147" t="s">
        <v>1145</v>
      </c>
      <c r="E405" s="147" t="s">
        <v>1751</v>
      </c>
      <c r="F405" s="147" t="s">
        <v>1126</v>
      </c>
      <c r="G405" s="158">
        <v>14000</v>
      </c>
    </row>
    <row r="406" spans="1:7" ht="24">
      <c r="A406" s="312" t="s">
        <v>1570</v>
      </c>
      <c r="B406" s="210" t="s">
        <v>476</v>
      </c>
      <c r="C406" s="147" t="s">
        <v>1170</v>
      </c>
      <c r="D406" s="147" t="s">
        <v>1145</v>
      </c>
      <c r="E406" s="147" t="s">
        <v>1571</v>
      </c>
      <c r="F406" s="147"/>
      <c r="G406" s="279">
        <f>G407</f>
        <v>0</v>
      </c>
    </row>
    <row r="407" spans="1:7" ht="24">
      <c r="A407" s="152" t="s">
        <v>490</v>
      </c>
      <c r="B407" s="210" t="s">
        <v>476</v>
      </c>
      <c r="C407" s="147" t="s">
        <v>1170</v>
      </c>
      <c r="D407" s="147" t="s">
        <v>1145</v>
      </c>
      <c r="E407" s="147" t="s">
        <v>1571</v>
      </c>
      <c r="F407" s="147" t="s">
        <v>489</v>
      </c>
      <c r="G407" s="279">
        <f>G408</f>
        <v>0</v>
      </c>
    </row>
    <row r="408" spans="1:7" ht="24">
      <c r="A408" s="157" t="s">
        <v>561</v>
      </c>
      <c r="B408" s="210" t="s">
        <v>476</v>
      </c>
      <c r="C408" s="147" t="s">
        <v>1170</v>
      </c>
      <c r="D408" s="147" t="s">
        <v>1145</v>
      </c>
      <c r="E408" s="147" t="s">
        <v>1571</v>
      </c>
      <c r="F408" s="147" t="s">
        <v>1126</v>
      </c>
      <c r="G408" s="279">
        <f>G409</f>
        <v>0</v>
      </c>
    </row>
    <row r="409" spans="1:7" ht="24">
      <c r="A409" s="157" t="s">
        <v>1572</v>
      </c>
      <c r="B409" s="210" t="s">
        <v>476</v>
      </c>
      <c r="C409" s="147" t="s">
        <v>1170</v>
      </c>
      <c r="D409" s="147" t="s">
        <v>1145</v>
      </c>
      <c r="E409" s="147" t="s">
        <v>1571</v>
      </c>
      <c r="F409" s="147" t="s">
        <v>1126</v>
      </c>
      <c r="G409" s="158">
        <f>10000-10000</f>
        <v>0</v>
      </c>
    </row>
    <row r="410" spans="1:7" ht="24">
      <c r="A410" s="157" t="s">
        <v>1234</v>
      </c>
      <c r="B410" s="210" t="s">
        <v>476</v>
      </c>
      <c r="C410" s="147" t="s">
        <v>1170</v>
      </c>
      <c r="D410" s="147" t="s">
        <v>1145</v>
      </c>
      <c r="E410" s="147" t="s">
        <v>1235</v>
      </c>
      <c r="F410" s="147"/>
      <c r="G410" s="279">
        <f>G411</f>
        <v>14840</v>
      </c>
    </row>
    <row r="411" spans="1:7" ht="24">
      <c r="A411" s="152" t="s">
        <v>490</v>
      </c>
      <c r="B411" s="210" t="s">
        <v>476</v>
      </c>
      <c r="C411" s="147" t="s">
        <v>1170</v>
      </c>
      <c r="D411" s="147" t="s">
        <v>1145</v>
      </c>
      <c r="E411" s="147" t="s">
        <v>1235</v>
      </c>
      <c r="F411" s="147" t="s">
        <v>489</v>
      </c>
      <c r="G411" s="279">
        <f>G412</f>
        <v>14840</v>
      </c>
    </row>
    <row r="412" spans="1:7" ht="24">
      <c r="A412" s="157" t="s">
        <v>561</v>
      </c>
      <c r="B412" s="210" t="s">
        <v>476</v>
      </c>
      <c r="C412" s="147" t="s">
        <v>1170</v>
      </c>
      <c r="D412" s="147" t="s">
        <v>1145</v>
      </c>
      <c r="E412" s="147" t="s">
        <v>1235</v>
      </c>
      <c r="F412" s="147" t="s">
        <v>1126</v>
      </c>
      <c r="G412" s="279">
        <f>G413+G414</f>
        <v>14840</v>
      </c>
    </row>
    <row r="413" spans="1:7" ht="24">
      <c r="A413" s="157" t="s">
        <v>1572</v>
      </c>
      <c r="B413" s="210" t="s">
        <v>476</v>
      </c>
      <c r="C413" s="147" t="s">
        <v>1170</v>
      </c>
      <c r="D413" s="147" t="s">
        <v>1145</v>
      </c>
      <c r="E413" s="147" t="s">
        <v>1235</v>
      </c>
      <c r="F413" s="147" t="s">
        <v>1126</v>
      </c>
      <c r="G413" s="158">
        <f>10000</f>
        <v>10000</v>
      </c>
    </row>
    <row r="414" spans="1:7" ht="36">
      <c r="A414" s="157" t="s">
        <v>1752</v>
      </c>
      <c r="B414" s="210" t="s">
        <v>476</v>
      </c>
      <c r="C414" s="147" t="s">
        <v>1170</v>
      </c>
      <c r="D414" s="147" t="s">
        <v>1145</v>
      </c>
      <c r="E414" s="147" t="s">
        <v>1235</v>
      </c>
      <c r="F414" s="147" t="s">
        <v>1126</v>
      </c>
      <c r="G414" s="158">
        <v>4840</v>
      </c>
    </row>
    <row r="415" spans="1:7" ht="48">
      <c r="A415" s="157" t="s">
        <v>1717</v>
      </c>
      <c r="B415" s="210" t="s">
        <v>476</v>
      </c>
      <c r="C415" s="147" t="s">
        <v>1170</v>
      </c>
      <c r="D415" s="147" t="s">
        <v>1145</v>
      </c>
      <c r="E415" s="147" t="s">
        <v>1718</v>
      </c>
      <c r="F415" s="147"/>
      <c r="G415" s="279">
        <f>G416</f>
        <v>10000</v>
      </c>
    </row>
    <row r="416" spans="1:7" ht="24">
      <c r="A416" s="152" t="s">
        <v>490</v>
      </c>
      <c r="B416" s="210" t="s">
        <v>476</v>
      </c>
      <c r="C416" s="147" t="s">
        <v>1170</v>
      </c>
      <c r="D416" s="147" t="s">
        <v>1145</v>
      </c>
      <c r="E416" s="147" t="s">
        <v>1718</v>
      </c>
      <c r="F416" s="147" t="s">
        <v>489</v>
      </c>
      <c r="G416" s="279">
        <f>G417</f>
        <v>10000</v>
      </c>
    </row>
    <row r="417" spans="1:7" ht="24">
      <c r="A417" s="157" t="s">
        <v>561</v>
      </c>
      <c r="B417" s="210" t="s">
        <v>476</v>
      </c>
      <c r="C417" s="147" t="s">
        <v>1170</v>
      </c>
      <c r="D417" s="147" t="s">
        <v>1145</v>
      </c>
      <c r="E417" s="147" t="s">
        <v>1718</v>
      </c>
      <c r="F417" s="147" t="s">
        <v>1126</v>
      </c>
      <c r="G417" s="279">
        <f>G418</f>
        <v>10000</v>
      </c>
    </row>
    <row r="418" spans="1:7" ht="24">
      <c r="A418" s="157" t="s">
        <v>1573</v>
      </c>
      <c r="B418" s="210" t="s">
        <v>476</v>
      </c>
      <c r="C418" s="147" t="s">
        <v>1170</v>
      </c>
      <c r="D418" s="147" t="s">
        <v>1145</v>
      </c>
      <c r="E418" s="147" t="s">
        <v>1718</v>
      </c>
      <c r="F418" s="147" t="s">
        <v>1126</v>
      </c>
      <c r="G418" s="158">
        <f>3400+6600</f>
        <v>10000</v>
      </c>
    </row>
    <row r="419" spans="1:7" ht="36">
      <c r="A419" s="157" t="s">
        <v>1616</v>
      </c>
      <c r="B419" s="210" t="s">
        <v>476</v>
      </c>
      <c r="C419" s="147" t="s">
        <v>1170</v>
      </c>
      <c r="D419" s="147" t="s">
        <v>1145</v>
      </c>
      <c r="E419" s="147" t="s">
        <v>1617</v>
      </c>
      <c r="F419" s="147"/>
      <c r="G419" s="306">
        <f>G420</f>
        <v>0</v>
      </c>
    </row>
    <row r="420" spans="1:7" ht="24">
      <c r="A420" s="157" t="s">
        <v>1618</v>
      </c>
      <c r="B420" s="210" t="s">
        <v>476</v>
      </c>
      <c r="C420" s="147" t="s">
        <v>1170</v>
      </c>
      <c r="D420" s="147" t="s">
        <v>1145</v>
      </c>
      <c r="E420" s="147" t="s">
        <v>1619</v>
      </c>
      <c r="F420" s="147" t="s">
        <v>1167</v>
      </c>
      <c r="G420" s="306">
        <f>G421</f>
        <v>0</v>
      </c>
    </row>
    <row r="421" spans="1:7" ht="36">
      <c r="A421" s="157" t="s">
        <v>1753</v>
      </c>
      <c r="B421" s="210" t="s">
        <v>476</v>
      </c>
      <c r="C421" s="147" t="s">
        <v>1170</v>
      </c>
      <c r="D421" s="147" t="s">
        <v>1145</v>
      </c>
      <c r="E421" s="147" t="s">
        <v>1619</v>
      </c>
      <c r="F421" s="147" t="s">
        <v>881</v>
      </c>
      <c r="G421" s="158">
        <f>4840-4840</f>
        <v>0</v>
      </c>
    </row>
    <row r="422" spans="1:7" ht="24">
      <c r="A422" s="164" t="s">
        <v>839</v>
      </c>
      <c r="B422" s="210" t="s">
        <v>476</v>
      </c>
      <c r="C422" s="147" t="s">
        <v>1170</v>
      </c>
      <c r="D422" s="147" t="s">
        <v>1145</v>
      </c>
      <c r="E422" s="147" t="s">
        <v>904</v>
      </c>
      <c r="F422" s="147"/>
      <c r="G422" s="155">
        <f aca="true" t="shared" si="0" ref="G422:G427">G423</f>
        <v>1200</v>
      </c>
    </row>
    <row r="423" spans="1:7" ht="36">
      <c r="A423" s="157" t="s">
        <v>117</v>
      </c>
      <c r="B423" s="210" t="s">
        <v>476</v>
      </c>
      <c r="C423" s="147" t="s">
        <v>1170</v>
      </c>
      <c r="D423" s="147" t="s">
        <v>1145</v>
      </c>
      <c r="E423" s="147" t="s">
        <v>1061</v>
      </c>
      <c r="F423" s="147"/>
      <c r="G423" s="155">
        <f t="shared" si="0"/>
        <v>1200</v>
      </c>
    </row>
    <row r="424" spans="1:7" ht="24">
      <c r="A424" s="157" t="s">
        <v>1062</v>
      </c>
      <c r="B424" s="210" t="s">
        <v>476</v>
      </c>
      <c r="C424" s="147" t="s">
        <v>1170</v>
      </c>
      <c r="D424" s="147" t="s">
        <v>1145</v>
      </c>
      <c r="E424" s="147" t="s">
        <v>1063</v>
      </c>
      <c r="F424" s="147"/>
      <c r="G424" s="155">
        <f t="shared" si="0"/>
        <v>1200</v>
      </c>
    </row>
    <row r="425" spans="1:7" ht="24">
      <c r="A425" s="157" t="s">
        <v>275</v>
      </c>
      <c r="B425" s="210" t="s">
        <v>476</v>
      </c>
      <c r="C425" s="147" t="s">
        <v>1170</v>
      </c>
      <c r="D425" s="147" t="s">
        <v>1145</v>
      </c>
      <c r="E425" s="147" t="s">
        <v>1064</v>
      </c>
      <c r="F425" s="147"/>
      <c r="G425" s="155">
        <f t="shared" si="0"/>
        <v>1200</v>
      </c>
    </row>
    <row r="426" spans="1:7" ht="24">
      <c r="A426" s="152" t="s">
        <v>490</v>
      </c>
      <c r="B426" s="210" t="s">
        <v>476</v>
      </c>
      <c r="C426" s="147" t="s">
        <v>1170</v>
      </c>
      <c r="D426" s="147" t="s">
        <v>1145</v>
      </c>
      <c r="E426" s="147" t="s">
        <v>1064</v>
      </c>
      <c r="F426" s="147" t="s">
        <v>489</v>
      </c>
      <c r="G426" s="155">
        <f t="shared" si="0"/>
        <v>1200</v>
      </c>
    </row>
    <row r="427" spans="1:7" ht="24">
      <c r="A427" s="157" t="s">
        <v>491</v>
      </c>
      <c r="B427" s="210" t="s">
        <v>476</v>
      </c>
      <c r="C427" s="147" t="s">
        <v>1170</v>
      </c>
      <c r="D427" s="147" t="s">
        <v>1145</v>
      </c>
      <c r="E427" s="147" t="s">
        <v>1064</v>
      </c>
      <c r="F427" s="147" t="s">
        <v>574</v>
      </c>
      <c r="G427" s="158">
        <f t="shared" si="0"/>
        <v>1200</v>
      </c>
    </row>
    <row r="428" spans="1:7" ht="24">
      <c r="A428" s="157" t="s">
        <v>276</v>
      </c>
      <c r="B428" s="210" t="s">
        <v>476</v>
      </c>
      <c r="C428" s="147" t="s">
        <v>1170</v>
      </c>
      <c r="D428" s="147" t="s">
        <v>1145</v>
      </c>
      <c r="E428" s="147" t="s">
        <v>1064</v>
      </c>
      <c r="F428" s="147" t="s">
        <v>574</v>
      </c>
      <c r="G428" s="158">
        <f>1200</f>
        <v>1200</v>
      </c>
    </row>
    <row r="429" spans="1:7" ht="24">
      <c r="A429" s="157" t="s">
        <v>1078</v>
      </c>
      <c r="B429" s="210" t="s">
        <v>476</v>
      </c>
      <c r="C429" s="147" t="s">
        <v>1170</v>
      </c>
      <c r="D429" s="147" t="s">
        <v>1145</v>
      </c>
      <c r="E429" s="147" t="s">
        <v>1079</v>
      </c>
      <c r="F429" s="147"/>
      <c r="G429" s="279">
        <f>G430</f>
        <v>11200</v>
      </c>
    </row>
    <row r="430" spans="1:7" ht="24">
      <c r="A430" s="152" t="s">
        <v>490</v>
      </c>
      <c r="B430" s="210" t="s">
        <v>476</v>
      </c>
      <c r="C430" s="147" t="s">
        <v>1170</v>
      </c>
      <c r="D430" s="147" t="s">
        <v>1145</v>
      </c>
      <c r="E430" s="147" t="s">
        <v>1079</v>
      </c>
      <c r="F430" s="147" t="s">
        <v>489</v>
      </c>
      <c r="G430" s="279">
        <f>G431+G437</f>
        <v>11200</v>
      </c>
    </row>
    <row r="431" spans="1:7" ht="24">
      <c r="A431" s="157" t="s">
        <v>491</v>
      </c>
      <c r="B431" s="210" t="s">
        <v>476</v>
      </c>
      <c r="C431" s="147" t="s">
        <v>1170</v>
      </c>
      <c r="D431" s="147" t="s">
        <v>1145</v>
      </c>
      <c r="E431" s="147" t="s">
        <v>1079</v>
      </c>
      <c r="F431" s="147" t="s">
        <v>574</v>
      </c>
      <c r="G431" s="279">
        <f>G432+G433+G434+G435+G436</f>
        <v>10700</v>
      </c>
    </row>
    <row r="432" spans="1:7" ht="48">
      <c r="A432" s="157" t="s">
        <v>1694</v>
      </c>
      <c r="B432" s="210" t="s">
        <v>476</v>
      </c>
      <c r="C432" s="147" t="s">
        <v>1170</v>
      </c>
      <c r="D432" s="147" t="s">
        <v>1145</v>
      </c>
      <c r="E432" s="147" t="s">
        <v>1079</v>
      </c>
      <c r="F432" s="147" t="s">
        <v>574</v>
      </c>
      <c r="G432" s="158">
        <v>4400</v>
      </c>
    </row>
    <row r="433" spans="1:7" ht="48">
      <c r="A433" s="157" t="s">
        <v>1695</v>
      </c>
      <c r="B433" s="210" t="s">
        <v>476</v>
      </c>
      <c r="C433" s="147" t="s">
        <v>1170</v>
      </c>
      <c r="D433" s="147" t="s">
        <v>1145</v>
      </c>
      <c r="E433" s="147" t="s">
        <v>1079</v>
      </c>
      <c r="F433" s="147" t="s">
        <v>574</v>
      </c>
      <c r="G433" s="158">
        <v>3900</v>
      </c>
    </row>
    <row r="434" spans="1:7" ht="36">
      <c r="A434" s="157" t="s">
        <v>1696</v>
      </c>
      <c r="B434" s="210" t="s">
        <v>476</v>
      </c>
      <c r="C434" s="147" t="s">
        <v>1170</v>
      </c>
      <c r="D434" s="147" t="s">
        <v>1145</v>
      </c>
      <c r="E434" s="147" t="s">
        <v>1079</v>
      </c>
      <c r="F434" s="147" t="s">
        <v>574</v>
      </c>
      <c r="G434" s="158">
        <v>700</v>
      </c>
    </row>
    <row r="435" spans="1:7" ht="42.75" customHeight="1">
      <c r="A435" s="157" t="s">
        <v>1697</v>
      </c>
      <c r="B435" s="210" t="s">
        <v>476</v>
      </c>
      <c r="C435" s="147" t="s">
        <v>1170</v>
      </c>
      <c r="D435" s="147" t="s">
        <v>1145</v>
      </c>
      <c r="E435" s="147" t="s">
        <v>1079</v>
      </c>
      <c r="F435" s="147" t="s">
        <v>574</v>
      </c>
      <c r="G435" s="158">
        <v>1200</v>
      </c>
    </row>
    <row r="436" spans="1:7" ht="49.5" customHeight="1">
      <c r="A436" s="157" t="s">
        <v>1698</v>
      </c>
      <c r="B436" s="210" t="s">
        <v>476</v>
      </c>
      <c r="C436" s="147" t="s">
        <v>1170</v>
      </c>
      <c r="D436" s="147" t="s">
        <v>1145</v>
      </c>
      <c r="E436" s="147" t="s">
        <v>1079</v>
      </c>
      <c r="F436" s="147" t="s">
        <v>574</v>
      </c>
      <c r="G436" s="158">
        <v>500</v>
      </c>
    </row>
    <row r="437" spans="1:7" ht="24">
      <c r="A437" s="157" t="s">
        <v>561</v>
      </c>
      <c r="B437" s="210" t="s">
        <v>476</v>
      </c>
      <c r="C437" s="147" t="s">
        <v>1170</v>
      </c>
      <c r="D437" s="147" t="s">
        <v>1145</v>
      </c>
      <c r="E437" s="147" t="s">
        <v>1079</v>
      </c>
      <c r="F437" s="147" t="s">
        <v>1126</v>
      </c>
      <c r="G437" s="279">
        <f>G438</f>
        <v>500</v>
      </c>
    </row>
    <row r="438" spans="1:7" ht="42.75" customHeight="1">
      <c r="A438" s="157" t="s">
        <v>1760</v>
      </c>
      <c r="B438" s="210" t="s">
        <v>476</v>
      </c>
      <c r="C438" s="147" t="s">
        <v>1170</v>
      </c>
      <c r="D438" s="147" t="s">
        <v>1145</v>
      </c>
      <c r="E438" s="147" t="s">
        <v>1079</v>
      </c>
      <c r="F438" s="147" t="s">
        <v>1126</v>
      </c>
      <c r="G438" s="158">
        <v>500</v>
      </c>
    </row>
    <row r="439" spans="1:7" ht="21.75" customHeight="1">
      <c r="A439" s="156" t="s">
        <v>780</v>
      </c>
      <c r="B439" s="210" t="s">
        <v>476</v>
      </c>
      <c r="C439" s="147" t="s">
        <v>1170</v>
      </c>
      <c r="D439" s="147" t="s">
        <v>936</v>
      </c>
      <c r="E439" s="147"/>
      <c r="F439" s="147"/>
      <c r="G439" s="155">
        <f>G440</f>
        <v>59568</v>
      </c>
    </row>
    <row r="440" spans="1:7" ht="24">
      <c r="A440" s="181" t="s">
        <v>1326</v>
      </c>
      <c r="B440" s="210" t="s">
        <v>476</v>
      </c>
      <c r="C440" s="147" t="s">
        <v>1170</v>
      </c>
      <c r="D440" s="147" t="s">
        <v>936</v>
      </c>
      <c r="E440" s="147" t="s">
        <v>361</v>
      </c>
      <c r="F440" s="147"/>
      <c r="G440" s="155">
        <f>G441+G447+G456</f>
        <v>59568</v>
      </c>
    </row>
    <row r="441" spans="1:7" ht="36">
      <c r="A441" s="152" t="s">
        <v>1325</v>
      </c>
      <c r="B441" s="210" t="s">
        <v>476</v>
      </c>
      <c r="C441" s="147" t="s">
        <v>1170</v>
      </c>
      <c r="D441" s="147" t="s">
        <v>936</v>
      </c>
      <c r="E441" s="147" t="s">
        <v>1037</v>
      </c>
      <c r="F441" s="147"/>
      <c r="G441" s="155">
        <f>G442</f>
        <v>10</v>
      </c>
    </row>
    <row r="442" spans="1:7" ht="24">
      <c r="A442" s="152" t="s">
        <v>951</v>
      </c>
      <c r="B442" s="210" t="s">
        <v>476</v>
      </c>
      <c r="C442" s="147" t="s">
        <v>1170</v>
      </c>
      <c r="D442" s="147" t="s">
        <v>936</v>
      </c>
      <c r="E442" s="147" t="s">
        <v>1040</v>
      </c>
      <c r="F442" s="147"/>
      <c r="G442" s="155">
        <f>G443</f>
        <v>10</v>
      </c>
    </row>
    <row r="443" spans="1:7" ht="24">
      <c r="A443" s="157" t="s">
        <v>952</v>
      </c>
      <c r="B443" s="210" t="s">
        <v>476</v>
      </c>
      <c r="C443" s="147" t="s">
        <v>1170</v>
      </c>
      <c r="D443" s="147" t="s">
        <v>936</v>
      </c>
      <c r="E443" s="147" t="s">
        <v>1041</v>
      </c>
      <c r="F443" s="147"/>
      <c r="G443" s="155">
        <f>G444</f>
        <v>10</v>
      </c>
    </row>
    <row r="444" spans="1:7" ht="24">
      <c r="A444" s="152" t="s">
        <v>490</v>
      </c>
      <c r="B444" s="210" t="s">
        <v>476</v>
      </c>
      <c r="C444" s="147" t="s">
        <v>1170</v>
      </c>
      <c r="D444" s="147" t="s">
        <v>936</v>
      </c>
      <c r="E444" s="147" t="s">
        <v>1041</v>
      </c>
      <c r="F444" s="147" t="s">
        <v>489</v>
      </c>
      <c r="G444" s="155">
        <f>G445</f>
        <v>10</v>
      </c>
    </row>
    <row r="445" spans="1:7" ht="24">
      <c r="A445" s="157" t="s">
        <v>491</v>
      </c>
      <c r="B445" s="210" t="s">
        <v>476</v>
      </c>
      <c r="C445" s="147" t="s">
        <v>1170</v>
      </c>
      <c r="D445" s="147" t="s">
        <v>936</v>
      </c>
      <c r="E445" s="147" t="s">
        <v>1041</v>
      </c>
      <c r="F445" s="147" t="s">
        <v>574</v>
      </c>
      <c r="G445" s="155">
        <f>G446</f>
        <v>10</v>
      </c>
    </row>
    <row r="446" spans="1:7" ht="24">
      <c r="A446" s="157" t="s">
        <v>1620</v>
      </c>
      <c r="B446" s="210" t="s">
        <v>476</v>
      </c>
      <c r="C446" s="147" t="s">
        <v>1170</v>
      </c>
      <c r="D446" s="147" t="s">
        <v>936</v>
      </c>
      <c r="E446" s="147" t="s">
        <v>1041</v>
      </c>
      <c r="F446" s="147" t="s">
        <v>574</v>
      </c>
      <c r="G446" s="158">
        <v>10</v>
      </c>
    </row>
    <row r="447" spans="1:7" ht="49.5" customHeight="1">
      <c r="A447" s="152" t="s">
        <v>1327</v>
      </c>
      <c r="B447" s="210" t="s">
        <v>476</v>
      </c>
      <c r="C447" s="147" t="s">
        <v>1170</v>
      </c>
      <c r="D447" s="147" t="s">
        <v>936</v>
      </c>
      <c r="E447" s="147" t="s">
        <v>359</v>
      </c>
      <c r="F447" s="147"/>
      <c r="G447" s="155">
        <f>G448</f>
        <v>15633</v>
      </c>
    </row>
    <row r="448" spans="1:7" ht="24">
      <c r="A448" s="152" t="s">
        <v>726</v>
      </c>
      <c r="B448" s="210" t="s">
        <v>476</v>
      </c>
      <c r="C448" s="147" t="s">
        <v>1170</v>
      </c>
      <c r="D448" s="147" t="s">
        <v>936</v>
      </c>
      <c r="E448" s="147" t="s">
        <v>359</v>
      </c>
      <c r="F448" s="147"/>
      <c r="G448" s="155">
        <f>G449</f>
        <v>15633</v>
      </c>
    </row>
    <row r="449" spans="1:7" ht="24">
      <c r="A449" s="157" t="s">
        <v>191</v>
      </c>
      <c r="B449" s="210" t="s">
        <v>476</v>
      </c>
      <c r="C449" s="147" t="s">
        <v>1170</v>
      </c>
      <c r="D449" s="147" t="s">
        <v>936</v>
      </c>
      <c r="E449" s="147" t="s">
        <v>1042</v>
      </c>
      <c r="F449" s="147"/>
      <c r="G449" s="155">
        <f>G451+G453+G454</f>
        <v>15633</v>
      </c>
    </row>
    <row r="450" spans="1:7" ht="48">
      <c r="A450" s="153" t="s">
        <v>1065</v>
      </c>
      <c r="B450" s="210" t="s">
        <v>476</v>
      </c>
      <c r="C450" s="147" t="s">
        <v>1170</v>
      </c>
      <c r="D450" s="147" t="s">
        <v>936</v>
      </c>
      <c r="E450" s="147" t="s">
        <v>1042</v>
      </c>
      <c r="F450" s="147" t="s">
        <v>960</v>
      </c>
      <c r="G450" s="155">
        <f>G451</f>
        <v>14067.5</v>
      </c>
    </row>
    <row r="451" spans="1:7" ht="24">
      <c r="A451" s="153" t="s">
        <v>515</v>
      </c>
      <c r="B451" s="210" t="s">
        <v>476</v>
      </c>
      <c r="C451" s="147" t="s">
        <v>1170</v>
      </c>
      <c r="D451" s="147" t="s">
        <v>936</v>
      </c>
      <c r="E451" s="147" t="s">
        <v>1042</v>
      </c>
      <c r="F451" s="147" t="s">
        <v>115</v>
      </c>
      <c r="G451" s="158">
        <f>13322+563+170+12.5</f>
        <v>14067.5</v>
      </c>
    </row>
    <row r="452" spans="1:7" ht="24">
      <c r="A452" s="153" t="s">
        <v>1066</v>
      </c>
      <c r="B452" s="210" t="s">
        <v>476</v>
      </c>
      <c r="C452" s="147" t="s">
        <v>1170</v>
      </c>
      <c r="D452" s="147" t="s">
        <v>936</v>
      </c>
      <c r="E452" s="147" t="s">
        <v>1042</v>
      </c>
      <c r="F452" s="147" t="s">
        <v>529</v>
      </c>
      <c r="G452" s="155">
        <f>G453</f>
        <v>1557.5</v>
      </c>
    </row>
    <row r="453" spans="1:7" ht="24">
      <c r="A453" s="153" t="s">
        <v>974</v>
      </c>
      <c r="B453" s="210" t="s">
        <v>476</v>
      </c>
      <c r="C453" s="147" t="s">
        <v>1170</v>
      </c>
      <c r="D453" s="147" t="s">
        <v>936</v>
      </c>
      <c r="E453" s="147" t="s">
        <v>1042</v>
      </c>
      <c r="F453" s="147" t="s">
        <v>429</v>
      </c>
      <c r="G453" s="158">
        <f>1772-100-102-12.5</f>
        <v>1557.5</v>
      </c>
    </row>
    <row r="454" spans="1:7" ht="24">
      <c r="A454" s="153" t="s">
        <v>985</v>
      </c>
      <c r="B454" s="210" t="s">
        <v>476</v>
      </c>
      <c r="C454" s="147" t="s">
        <v>1170</v>
      </c>
      <c r="D454" s="147" t="s">
        <v>936</v>
      </c>
      <c r="E454" s="147" t="s">
        <v>1042</v>
      </c>
      <c r="F454" s="147" t="s">
        <v>986</v>
      </c>
      <c r="G454" s="155">
        <f>G455</f>
        <v>8</v>
      </c>
    </row>
    <row r="455" spans="1:7" ht="24">
      <c r="A455" s="153" t="s">
        <v>459</v>
      </c>
      <c r="B455" s="210" t="s">
        <v>476</v>
      </c>
      <c r="C455" s="147" t="s">
        <v>1170</v>
      </c>
      <c r="D455" s="147" t="s">
        <v>936</v>
      </c>
      <c r="E455" s="147" t="s">
        <v>1042</v>
      </c>
      <c r="F455" s="147" t="s">
        <v>460</v>
      </c>
      <c r="G455" s="158">
        <f>8</f>
        <v>8</v>
      </c>
    </row>
    <row r="456" spans="1:7" ht="24">
      <c r="A456" s="153" t="s">
        <v>362</v>
      </c>
      <c r="B456" s="210" t="s">
        <v>476</v>
      </c>
      <c r="C456" s="147" t="s">
        <v>1170</v>
      </c>
      <c r="D456" s="147" t="s">
        <v>936</v>
      </c>
      <c r="E456" s="147" t="s">
        <v>953</v>
      </c>
      <c r="F456" s="147"/>
      <c r="G456" s="155">
        <f>G457</f>
        <v>43925</v>
      </c>
    </row>
    <row r="457" spans="1:7" ht="48">
      <c r="A457" s="193" t="s">
        <v>541</v>
      </c>
      <c r="B457" s="210" t="s">
        <v>476</v>
      </c>
      <c r="C457" s="147" t="s">
        <v>1170</v>
      </c>
      <c r="D457" s="147" t="s">
        <v>936</v>
      </c>
      <c r="E457" s="147" t="s">
        <v>1043</v>
      </c>
      <c r="F457" s="147"/>
      <c r="G457" s="155">
        <f>G458</f>
        <v>43925</v>
      </c>
    </row>
    <row r="458" spans="1:7" ht="24">
      <c r="A458" s="152" t="s">
        <v>490</v>
      </c>
      <c r="B458" s="210" t="s">
        <v>476</v>
      </c>
      <c r="C458" s="147" t="s">
        <v>1170</v>
      </c>
      <c r="D458" s="147" t="s">
        <v>936</v>
      </c>
      <c r="E458" s="147" t="s">
        <v>1043</v>
      </c>
      <c r="F458" s="147" t="s">
        <v>489</v>
      </c>
      <c r="G458" s="155">
        <f>G459</f>
        <v>43925</v>
      </c>
    </row>
    <row r="459" spans="1:7" ht="24">
      <c r="A459" s="157" t="s">
        <v>371</v>
      </c>
      <c r="B459" s="210" t="s">
        <v>476</v>
      </c>
      <c r="C459" s="147" t="s">
        <v>1170</v>
      </c>
      <c r="D459" s="147" t="s">
        <v>936</v>
      </c>
      <c r="E459" s="147" t="s">
        <v>1043</v>
      </c>
      <c r="F459" s="147" t="s">
        <v>574</v>
      </c>
      <c r="G459" s="158">
        <f>44145+100-310-10</f>
        <v>43925</v>
      </c>
    </row>
    <row r="460" spans="1:7" ht="15">
      <c r="A460" s="166" t="s">
        <v>279</v>
      </c>
      <c r="B460" s="210" t="s">
        <v>476</v>
      </c>
      <c r="C460" s="168" t="s">
        <v>567</v>
      </c>
      <c r="D460" s="168"/>
      <c r="E460" s="168"/>
      <c r="F460" s="146"/>
      <c r="G460" s="155">
        <f>G461</f>
        <v>333648.5</v>
      </c>
    </row>
    <row r="461" spans="1:7" ht="15">
      <c r="A461" s="156" t="s">
        <v>280</v>
      </c>
      <c r="B461" s="210" t="s">
        <v>476</v>
      </c>
      <c r="C461" s="147" t="s">
        <v>567</v>
      </c>
      <c r="D461" s="147" t="s">
        <v>1145</v>
      </c>
      <c r="E461" s="169"/>
      <c r="F461" s="147"/>
      <c r="G461" s="155">
        <f>G462+G502+G509</f>
        <v>333648.5</v>
      </c>
    </row>
    <row r="462" spans="1:7" ht="24">
      <c r="A462" s="164" t="s">
        <v>1319</v>
      </c>
      <c r="B462" s="210" t="s">
        <v>476</v>
      </c>
      <c r="C462" s="147" t="s">
        <v>567</v>
      </c>
      <c r="D462" s="147" t="s">
        <v>1145</v>
      </c>
      <c r="E462" s="147" t="s">
        <v>739</v>
      </c>
      <c r="F462" s="147"/>
      <c r="G462" s="155">
        <f>G463</f>
        <v>324848.5</v>
      </c>
    </row>
    <row r="463" spans="1:7" ht="24">
      <c r="A463" s="157" t="s">
        <v>1332</v>
      </c>
      <c r="B463" s="210" t="s">
        <v>476</v>
      </c>
      <c r="C463" s="147" t="s">
        <v>567</v>
      </c>
      <c r="D463" s="147" t="s">
        <v>1145</v>
      </c>
      <c r="E463" s="147" t="s">
        <v>365</v>
      </c>
      <c r="F463" s="147"/>
      <c r="G463" s="155">
        <f>G464+G469+G474+G490</f>
        <v>324848.5</v>
      </c>
    </row>
    <row r="464" spans="1:7" ht="27.75" customHeight="1">
      <c r="A464" s="157" t="s">
        <v>363</v>
      </c>
      <c r="B464" s="210" t="s">
        <v>476</v>
      </c>
      <c r="C464" s="147" t="s">
        <v>567</v>
      </c>
      <c r="D464" s="147" t="s">
        <v>1145</v>
      </c>
      <c r="E464" s="147" t="s">
        <v>364</v>
      </c>
      <c r="F464" s="147"/>
      <c r="G464" s="155">
        <f>G465</f>
        <v>3100</v>
      </c>
    </row>
    <row r="465" spans="1:7" ht="36">
      <c r="A465" s="157" t="s">
        <v>366</v>
      </c>
      <c r="B465" s="210" t="s">
        <v>476</v>
      </c>
      <c r="C465" s="147" t="s">
        <v>567</v>
      </c>
      <c r="D465" s="147" t="s">
        <v>1145</v>
      </c>
      <c r="E465" s="147" t="s">
        <v>367</v>
      </c>
      <c r="F465" s="147"/>
      <c r="G465" s="155">
        <f>G466</f>
        <v>3100</v>
      </c>
    </row>
    <row r="466" spans="1:7" ht="24">
      <c r="A466" s="152" t="s">
        <v>490</v>
      </c>
      <c r="B466" s="210" t="s">
        <v>476</v>
      </c>
      <c r="C466" s="147" t="s">
        <v>567</v>
      </c>
      <c r="D466" s="147" t="s">
        <v>1145</v>
      </c>
      <c r="E466" s="147" t="s">
        <v>367</v>
      </c>
      <c r="F466" s="147" t="s">
        <v>489</v>
      </c>
      <c r="G466" s="155">
        <f>G467</f>
        <v>3100</v>
      </c>
    </row>
    <row r="467" spans="1:7" ht="24">
      <c r="A467" s="157" t="s">
        <v>491</v>
      </c>
      <c r="B467" s="210" t="s">
        <v>476</v>
      </c>
      <c r="C467" s="147" t="s">
        <v>567</v>
      </c>
      <c r="D467" s="147" t="s">
        <v>1145</v>
      </c>
      <c r="E467" s="147" t="s">
        <v>367</v>
      </c>
      <c r="F467" s="147" t="s">
        <v>574</v>
      </c>
      <c r="G467" s="155">
        <f>G468</f>
        <v>3100</v>
      </c>
    </row>
    <row r="468" spans="1:7" ht="24">
      <c r="A468" s="157" t="s">
        <v>181</v>
      </c>
      <c r="B468" s="210" t="s">
        <v>476</v>
      </c>
      <c r="C468" s="147" t="s">
        <v>567</v>
      </c>
      <c r="D468" s="147" t="s">
        <v>1145</v>
      </c>
      <c r="E468" s="147" t="s">
        <v>367</v>
      </c>
      <c r="F468" s="147" t="s">
        <v>574</v>
      </c>
      <c r="G468" s="158">
        <f>3100</f>
        <v>3100</v>
      </c>
    </row>
    <row r="469" spans="1:7" ht="36">
      <c r="A469" s="152" t="s">
        <v>368</v>
      </c>
      <c r="B469" s="210" t="s">
        <v>476</v>
      </c>
      <c r="C469" s="147" t="s">
        <v>567</v>
      </c>
      <c r="D469" s="147" t="s">
        <v>1145</v>
      </c>
      <c r="E469" s="147" t="s">
        <v>226</v>
      </c>
      <c r="F469" s="150"/>
      <c r="G469" s="155">
        <f>G470</f>
        <v>148143</v>
      </c>
    </row>
    <row r="470" spans="1:7" ht="24">
      <c r="A470" s="152" t="s">
        <v>130</v>
      </c>
      <c r="B470" s="210" t="s">
        <v>476</v>
      </c>
      <c r="C470" s="147" t="s">
        <v>567</v>
      </c>
      <c r="D470" s="147" t="s">
        <v>1145</v>
      </c>
      <c r="E470" s="147" t="s">
        <v>369</v>
      </c>
      <c r="F470" s="150"/>
      <c r="G470" s="155">
        <f>G471</f>
        <v>148143</v>
      </c>
    </row>
    <row r="471" spans="1:7" ht="24">
      <c r="A471" s="152" t="s">
        <v>490</v>
      </c>
      <c r="B471" s="210" t="s">
        <v>476</v>
      </c>
      <c r="C471" s="147" t="s">
        <v>567</v>
      </c>
      <c r="D471" s="147" t="s">
        <v>1145</v>
      </c>
      <c r="E471" s="147" t="s">
        <v>369</v>
      </c>
      <c r="F471" s="147" t="s">
        <v>489</v>
      </c>
      <c r="G471" s="155">
        <f>G472+G473</f>
        <v>148143</v>
      </c>
    </row>
    <row r="472" spans="1:7" ht="24">
      <c r="A472" s="157" t="s">
        <v>371</v>
      </c>
      <c r="B472" s="210" t="s">
        <v>476</v>
      </c>
      <c r="C472" s="147" t="s">
        <v>567</v>
      </c>
      <c r="D472" s="147" t="s">
        <v>1145</v>
      </c>
      <c r="E472" s="147" t="s">
        <v>369</v>
      </c>
      <c r="F472" s="147" t="s">
        <v>574</v>
      </c>
      <c r="G472" s="158">
        <f>34459-200-193-29+9395</f>
        <v>43432</v>
      </c>
    </row>
    <row r="473" spans="1:7" ht="24">
      <c r="A473" s="157" t="s">
        <v>1125</v>
      </c>
      <c r="B473" s="210" t="s">
        <v>476</v>
      </c>
      <c r="C473" s="147" t="s">
        <v>567</v>
      </c>
      <c r="D473" s="147" t="s">
        <v>1145</v>
      </c>
      <c r="E473" s="147" t="s">
        <v>369</v>
      </c>
      <c r="F473" s="147" t="s">
        <v>1126</v>
      </c>
      <c r="G473" s="158">
        <f>108105+100+200-430-164-5000+3500-1600</f>
        <v>104711</v>
      </c>
    </row>
    <row r="474" spans="1:7" ht="36">
      <c r="A474" s="157" t="s">
        <v>227</v>
      </c>
      <c r="B474" s="210" t="s">
        <v>476</v>
      </c>
      <c r="C474" s="147" t="s">
        <v>567</v>
      </c>
      <c r="D474" s="147" t="s">
        <v>1145</v>
      </c>
      <c r="E474" s="147" t="s">
        <v>229</v>
      </c>
      <c r="F474" s="147"/>
      <c r="G474" s="155">
        <f>G475+G478+G481+G484+G487</f>
        <v>109206.9</v>
      </c>
    </row>
    <row r="475" spans="1:7" ht="72">
      <c r="A475" s="157" t="s">
        <v>613</v>
      </c>
      <c r="B475" s="210" t="s">
        <v>476</v>
      </c>
      <c r="C475" s="147" t="s">
        <v>567</v>
      </c>
      <c r="D475" s="147" t="s">
        <v>1145</v>
      </c>
      <c r="E475" s="147" t="s">
        <v>950</v>
      </c>
      <c r="F475" s="147"/>
      <c r="G475" s="155">
        <f>G476</f>
        <v>29700</v>
      </c>
    </row>
    <row r="476" spans="1:7" ht="24">
      <c r="A476" s="165" t="s">
        <v>461</v>
      </c>
      <c r="B476" s="210" t="s">
        <v>476</v>
      </c>
      <c r="C476" s="147" t="s">
        <v>567</v>
      </c>
      <c r="D476" s="147" t="s">
        <v>1145</v>
      </c>
      <c r="E476" s="147" t="s">
        <v>950</v>
      </c>
      <c r="F476" s="147" t="s">
        <v>1167</v>
      </c>
      <c r="G476" s="155">
        <f>G477</f>
        <v>29700</v>
      </c>
    </row>
    <row r="477" spans="1:7" ht="36">
      <c r="A477" s="152" t="s">
        <v>1093</v>
      </c>
      <c r="B477" s="210" t="s">
        <v>476</v>
      </c>
      <c r="C477" s="147" t="s">
        <v>567</v>
      </c>
      <c r="D477" s="147" t="s">
        <v>1145</v>
      </c>
      <c r="E477" s="147" t="s">
        <v>950</v>
      </c>
      <c r="F477" s="147" t="s">
        <v>881</v>
      </c>
      <c r="G477" s="158">
        <v>29700</v>
      </c>
    </row>
    <row r="478" spans="1:7" ht="72">
      <c r="A478" s="165" t="s">
        <v>871</v>
      </c>
      <c r="B478" s="210" t="s">
        <v>476</v>
      </c>
      <c r="C478" s="147" t="s">
        <v>567</v>
      </c>
      <c r="D478" s="147" t="s">
        <v>1145</v>
      </c>
      <c r="E478" s="147" t="s">
        <v>228</v>
      </c>
      <c r="F478" s="147"/>
      <c r="G478" s="155">
        <f>G479</f>
        <v>63365.5</v>
      </c>
    </row>
    <row r="479" spans="1:7" ht="24">
      <c r="A479" s="165" t="s">
        <v>461</v>
      </c>
      <c r="B479" s="210" t="s">
        <v>476</v>
      </c>
      <c r="C479" s="147" t="s">
        <v>567</v>
      </c>
      <c r="D479" s="147" t="s">
        <v>1145</v>
      </c>
      <c r="E479" s="147" t="s">
        <v>228</v>
      </c>
      <c r="F479" s="147" t="s">
        <v>1167</v>
      </c>
      <c r="G479" s="155">
        <f>G480</f>
        <v>63365.5</v>
      </c>
    </row>
    <row r="480" spans="1:7" ht="36">
      <c r="A480" s="152" t="s">
        <v>1093</v>
      </c>
      <c r="B480" s="210" t="s">
        <v>476</v>
      </c>
      <c r="C480" s="147" t="s">
        <v>567</v>
      </c>
      <c r="D480" s="147" t="s">
        <v>1145</v>
      </c>
      <c r="E480" s="147" t="s">
        <v>228</v>
      </c>
      <c r="F480" s="147" t="s">
        <v>881</v>
      </c>
      <c r="G480" s="158">
        <f>16560+46805.5</f>
        <v>63365.5</v>
      </c>
    </row>
    <row r="481" spans="1:7" ht="36">
      <c r="A481" s="198" t="s">
        <v>614</v>
      </c>
      <c r="B481" s="210" t="s">
        <v>476</v>
      </c>
      <c r="C481" s="150" t="s">
        <v>567</v>
      </c>
      <c r="D481" s="150" t="s">
        <v>1145</v>
      </c>
      <c r="E481" s="147" t="s">
        <v>230</v>
      </c>
      <c r="F481" s="150"/>
      <c r="G481" s="155">
        <f>G482</f>
        <v>15841.400000000001</v>
      </c>
    </row>
    <row r="482" spans="1:7" ht="24">
      <c r="A482" s="165" t="s">
        <v>461</v>
      </c>
      <c r="B482" s="210" t="s">
        <v>476</v>
      </c>
      <c r="C482" s="150" t="s">
        <v>567</v>
      </c>
      <c r="D482" s="150" t="s">
        <v>1145</v>
      </c>
      <c r="E482" s="147" t="s">
        <v>230</v>
      </c>
      <c r="F482" s="150" t="s">
        <v>1167</v>
      </c>
      <c r="G482" s="155">
        <f>G483</f>
        <v>15841.400000000001</v>
      </c>
    </row>
    <row r="483" spans="1:7" ht="36">
      <c r="A483" s="152" t="s">
        <v>1093</v>
      </c>
      <c r="B483" s="210" t="s">
        <v>476</v>
      </c>
      <c r="C483" s="150" t="s">
        <v>567</v>
      </c>
      <c r="D483" s="150" t="s">
        <v>1145</v>
      </c>
      <c r="E483" s="147" t="s">
        <v>230</v>
      </c>
      <c r="F483" s="150" t="s">
        <v>881</v>
      </c>
      <c r="G483" s="158">
        <f>63348-47506.6+300-300</f>
        <v>15841.400000000001</v>
      </c>
    </row>
    <row r="484" spans="1:7" ht="24">
      <c r="A484" s="152" t="s">
        <v>1333</v>
      </c>
      <c r="B484" s="210" t="s">
        <v>476</v>
      </c>
      <c r="C484" s="150" t="s">
        <v>567</v>
      </c>
      <c r="D484" s="150" t="s">
        <v>1145</v>
      </c>
      <c r="E484" s="147" t="s">
        <v>1334</v>
      </c>
      <c r="F484" s="150"/>
      <c r="G484" s="279">
        <f>G485</f>
        <v>300</v>
      </c>
    </row>
    <row r="485" spans="1:7" ht="24">
      <c r="A485" s="285" t="s">
        <v>461</v>
      </c>
      <c r="B485" s="210" t="s">
        <v>476</v>
      </c>
      <c r="C485" s="150" t="s">
        <v>567</v>
      </c>
      <c r="D485" s="150" t="s">
        <v>1145</v>
      </c>
      <c r="E485" s="147" t="s">
        <v>1334</v>
      </c>
      <c r="F485" s="150" t="s">
        <v>1167</v>
      </c>
      <c r="G485" s="279">
        <f>G486</f>
        <v>300</v>
      </c>
    </row>
    <row r="486" spans="1:7" ht="36">
      <c r="A486" s="152" t="s">
        <v>1093</v>
      </c>
      <c r="B486" s="210" t="s">
        <v>476</v>
      </c>
      <c r="C486" s="150" t="s">
        <v>567</v>
      </c>
      <c r="D486" s="150" t="s">
        <v>1145</v>
      </c>
      <c r="E486" s="147" t="s">
        <v>1334</v>
      </c>
      <c r="F486" s="150" t="s">
        <v>881</v>
      </c>
      <c r="G486" s="158">
        <f>14092-14092+300</f>
        <v>300</v>
      </c>
    </row>
    <row r="487" spans="1:7" ht="24">
      <c r="A487" s="152" t="s">
        <v>1622</v>
      </c>
      <c r="B487" s="210" t="s">
        <v>476</v>
      </c>
      <c r="C487" s="150" t="s">
        <v>567</v>
      </c>
      <c r="D487" s="150" t="s">
        <v>1145</v>
      </c>
      <c r="E487" s="147" t="s">
        <v>1623</v>
      </c>
      <c r="F487" s="150"/>
      <c r="G487" s="279">
        <f>G488</f>
        <v>0</v>
      </c>
    </row>
    <row r="488" spans="1:7" ht="24">
      <c r="A488" s="285" t="s">
        <v>461</v>
      </c>
      <c r="B488" s="210" t="s">
        <v>476</v>
      </c>
      <c r="C488" s="147" t="s">
        <v>567</v>
      </c>
      <c r="D488" s="147" t="s">
        <v>1145</v>
      </c>
      <c r="E488" s="147" t="s">
        <v>1623</v>
      </c>
      <c r="F488" s="150" t="s">
        <v>1167</v>
      </c>
      <c r="G488" s="279">
        <f>G489</f>
        <v>0</v>
      </c>
    </row>
    <row r="489" spans="1:7" ht="36">
      <c r="A489" s="152" t="s">
        <v>1093</v>
      </c>
      <c r="B489" s="210" t="s">
        <v>476</v>
      </c>
      <c r="C489" s="147" t="s">
        <v>567</v>
      </c>
      <c r="D489" s="147" t="s">
        <v>1145</v>
      </c>
      <c r="E489" s="147" t="s">
        <v>1623</v>
      </c>
      <c r="F489" s="150" t="s">
        <v>881</v>
      </c>
      <c r="G489" s="158">
        <v>0</v>
      </c>
    </row>
    <row r="490" spans="1:7" ht="48">
      <c r="A490" s="152" t="s">
        <v>231</v>
      </c>
      <c r="B490" s="210" t="s">
        <v>476</v>
      </c>
      <c r="C490" s="147" t="s">
        <v>567</v>
      </c>
      <c r="D490" s="147" t="s">
        <v>1145</v>
      </c>
      <c r="E490" s="147" t="s">
        <v>232</v>
      </c>
      <c r="F490" s="150"/>
      <c r="G490" s="279">
        <f>G491+G496</f>
        <v>64398.6</v>
      </c>
    </row>
    <row r="491" spans="1:7" ht="24">
      <c r="A491" s="152" t="s">
        <v>234</v>
      </c>
      <c r="B491" s="210" t="s">
        <v>476</v>
      </c>
      <c r="C491" s="147" t="s">
        <v>567</v>
      </c>
      <c r="D491" s="147" t="s">
        <v>1145</v>
      </c>
      <c r="E491" s="147" t="s">
        <v>233</v>
      </c>
      <c r="F491" s="150"/>
      <c r="G491" s="279">
        <f>G492</f>
        <v>6730</v>
      </c>
    </row>
    <row r="492" spans="1:7" ht="24">
      <c r="A492" s="152" t="s">
        <v>490</v>
      </c>
      <c r="B492" s="210" t="s">
        <v>476</v>
      </c>
      <c r="C492" s="147" t="s">
        <v>567</v>
      </c>
      <c r="D492" s="147" t="s">
        <v>1145</v>
      </c>
      <c r="E492" s="147" t="s">
        <v>233</v>
      </c>
      <c r="F492" s="150" t="s">
        <v>489</v>
      </c>
      <c r="G492" s="279">
        <f>G493</f>
        <v>6730</v>
      </c>
    </row>
    <row r="493" spans="1:7" ht="24">
      <c r="A493" s="157" t="s">
        <v>561</v>
      </c>
      <c r="B493" s="210" t="s">
        <v>476</v>
      </c>
      <c r="C493" s="147" t="s">
        <v>567</v>
      </c>
      <c r="D493" s="147" t="s">
        <v>1145</v>
      </c>
      <c r="E493" s="147" t="s">
        <v>233</v>
      </c>
      <c r="F493" s="150" t="s">
        <v>1126</v>
      </c>
      <c r="G493" s="279">
        <f>G494+G495</f>
        <v>6730</v>
      </c>
    </row>
    <row r="494" spans="1:7" ht="24">
      <c r="A494" s="152" t="s">
        <v>1721</v>
      </c>
      <c r="B494" s="210" t="s">
        <v>476</v>
      </c>
      <c r="C494" s="147" t="s">
        <v>567</v>
      </c>
      <c r="D494" s="147" t="s">
        <v>1145</v>
      </c>
      <c r="E494" s="147" t="s">
        <v>233</v>
      </c>
      <c r="F494" s="150" t="s">
        <v>1126</v>
      </c>
      <c r="G494" s="158">
        <f>5000-470</f>
        <v>4530</v>
      </c>
    </row>
    <row r="495" spans="1:7" ht="24">
      <c r="A495" s="152" t="s">
        <v>1814</v>
      </c>
      <c r="B495" s="210" t="s">
        <v>476</v>
      </c>
      <c r="C495" s="147" t="s">
        <v>567</v>
      </c>
      <c r="D495" s="147" t="s">
        <v>1145</v>
      </c>
      <c r="E495" s="147" t="s">
        <v>233</v>
      </c>
      <c r="F495" s="150" t="s">
        <v>1126</v>
      </c>
      <c r="G495" s="158">
        <v>2200</v>
      </c>
    </row>
    <row r="496" spans="1:7" ht="24">
      <c r="A496" s="157" t="s">
        <v>1624</v>
      </c>
      <c r="B496" s="210" t="s">
        <v>476</v>
      </c>
      <c r="C496" s="150" t="s">
        <v>567</v>
      </c>
      <c r="D496" s="150" t="s">
        <v>1145</v>
      </c>
      <c r="E496" s="147" t="s">
        <v>954</v>
      </c>
      <c r="F496" s="150"/>
      <c r="G496" s="279">
        <f>G497</f>
        <v>57668.6</v>
      </c>
    </row>
    <row r="497" spans="1:7" ht="24">
      <c r="A497" s="152" t="s">
        <v>490</v>
      </c>
      <c r="B497" s="210" t="s">
        <v>476</v>
      </c>
      <c r="C497" s="150" t="s">
        <v>567</v>
      </c>
      <c r="D497" s="150" t="s">
        <v>1145</v>
      </c>
      <c r="E497" s="147" t="s">
        <v>954</v>
      </c>
      <c r="F497" s="150" t="s">
        <v>489</v>
      </c>
      <c r="G497" s="279">
        <f>G498</f>
        <v>57668.6</v>
      </c>
    </row>
    <row r="498" spans="1:7" ht="24">
      <c r="A498" s="157" t="s">
        <v>561</v>
      </c>
      <c r="B498" s="210" t="s">
        <v>476</v>
      </c>
      <c r="C498" s="150" t="s">
        <v>567</v>
      </c>
      <c r="D498" s="150" t="s">
        <v>1145</v>
      </c>
      <c r="E498" s="147" t="s">
        <v>954</v>
      </c>
      <c r="F498" s="150" t="s">
        <v>1126</v>
      </c>
      <c r="G498" s="279">
        <f>G499+G500+G501</f>
        <v>57668.6</v>
      </c>
    </row>
    <row r="499" spans="1:7" ht="24">
      <c r="A499" s="152" t="s">
        <v>1625</v>
      </c>
      <c r="B499" s="210" t="s">
        <v>476</v>
      </c>
      <c r="C499" s="150" t="s">
        <v>567</v>
      </c>
      <c r="D499" s="150" t="s">
        <v>1145</v>
      </c>
      <c r="E499" s="147" t="s">
        <v>954</v>
      </c>
      <c r="F499" s="150" t="s">
        <v>1126</v>
      </c>
      <c r="G499" s="158">
        <f>14092+2555.8-16647.8</f>
        <v>0</v>
      </c>
    </row>
    <row r="500" spans="1:7" ht="36">
      <c r="A500" s="152" t="s">
        <v>1704</v>
      </c>
      <c r="B500" s="210" t="s">
        <v>476</v>
      </c>
      <c r="C500" s="150" t="s">
        <v>567</v>
      </c>
      <c r="D500" s="150" t="s">
        <v>1145</v>
      </c>
      <c r="E500" s="147" t="s">
        <v>954</v>
      </c>
      <c r="F500" s="150" t="s">
        <v>1126</v>
      </c>
      <c r="G500" s="158">
        <f>19000-130</f>
        <v>18870</v>
      </c>
    </row>
    <row r="501" spans="1:7" ht="24">
      <c r="A501" s="152" t="s">
        <v>1705</v>
      </c>
      <c r="B501" s="210" t="s">
        <v>476</v>
      </c>
      <c r="C501" s="150" t="s">
        <v>567</v>
      </c>
      <c r="D501" s="150" t="s">
        <v>1145</v>
      </c>
      <c r="E501" s="147" t="s">
        <v>954</v>
      </c>
      <c r="F501" s="150" t="s">
        <v>1126</v>
      </c>
      <c r="G501" s="158">
        <f>25950.8+13147.8-300</f>
        <v>38798.6</v>
      </c>
    </row>
    <row r="502" spans="1:7" ht="24">
      <c r="A502" s="160" t="s">
        <v>1276</v>
      </c>
      <c r="B502" s="210" t="s">
        <v>476</v>
      </c>
      <c r="C502" s="150" t="s">
        <v>567</v>
      </c>
      <c r="D502" s="150" t="s">
        <v>1145</v>
      </c>
      <c r="E502" s="147" t="s">
        <v>193</v>
      </c>
      <c r="F502" s="150"/>
      <c r="G502" s="279">
        <f aca="true" t="shared" si="1" ref="G502:G507">G503</f>
        <v>8000</v>
      </c>
    </row>
    <row r="503" spans="1:7" ht="36">
      <c r="A503" s="15" t="s">
        <v>1297</v>
      </c>
      <c r="B503" s="210" t="s">
        <v>476</v>
      </c>
      <c r="C503" s="150" t="s">
        <v>567</v>
      </c>
      <c r="D503" s="150" t="s">
        <v>1145</v>
      </c>
      <c r="E503" s="147" t="s">
        <v>203</v>
      </c>
      <c r="F503" s="150"/>
      <c r="G503" s="279">
        <f t="shared" si="1"/>
        <v>8000</v>
      </c>
    </row>
    <row r="504" spans="1:7" ht="36">
      <c r="A504" s="153" t="s">
        <v>1544</v>
      </c>
      <c r="B504" s="210" t="s">
        <v>476</v>
      </c>
      <c r="C504" s="150" t="s">
        <v>567</v>
      </c>
      <c r="D504" s="150" t="s">
        <v>1145</v>
      </c>
      <c r="E504" s="147" t="s">
        <v>1473</v>
      </c>
      <c r="F504" s="150"/>
      <c r="G504" s="279">
        <f t="shared" si="1"/>
        <v>8000</v>
      </c>
    </row>
    <row r="505" spans="1:7" ht="24">
      <c r="A505" s="15" t="s">
        <v>201</v>
      </c>
      <c r="B505" s="210" t="s">
        <v>476</v>
      </c>
      <c r="C505" s="150" t="s">
        <v>567</v>
      </c>
      <c r="D505" s="150" t="s">
        <v>1145</v>
      </c>
      <c r="E505" s="147" t="s">
        <v>1474</v>
      </c>
      <c r="F505" s="150"/>
      <c r="G505" s="279">
        <f t="shared" si="1"/>
        <v>8000</v>
      </c>
    </row>
    <row r="506" spans="1:7" ht="24">
      <c r="A506" s="152" t="s">
        <v>490</v>
      </c>
      <c r="B506" s="210" t="s">
        <v>476</v>
      </c>
      <c r="C506" s="150" t="s">
        <v>567</v>
      </c>
      <c r="D506" s="150" t="s">
        <v>1145</v>
      </c>
      <c r="E506" s="147" t="s">
        <v>1474</v>
      </c>
      <c r="F506" s="150" t="s">
        <v>489</v>
      </c>
      <c r="G506" s="279">
        <f t="shared" si="1"/>
        <v>8000</v>
      </c>
    </row>
    <row r="507" spans="1:7" ht="24">
      <c r="A507" s="157" t="s">
        <v>561</v>
      </c>
      <c r="B507" s="210" t="s">
        <v>476</v>
      </c>
      <c r="C507" s="150" t="s">
        <v>567</v>
      </c>
      <c r="D507" s="150" t="s">
        <v>1145</v>
      </c>
      <c r="E507" s="147" t="s">
        <v>1474</v>
      </c>
      <c r="F507" s="150" t="s">
        <v>1126</v>
      </c>
      <c r="G507" s="279">
        <f t="shared" si="1"/>
        <v>8000</v>
      </c>
    </row>
    <row r="508" spans="1:7" ht="48">
      <c r="A508" s="152" t="s">
        <v>1722</v>
      </c>
      <c r="B508" s="210" t="s">
        <v>476</v>
      </c>
      <c r="C508" s="150" t="s">
        <v>567</v>
      </c>
      <c r="D508" s="150" t="s">
        <v>1145</v>
      </c>
      <c r="E508" s="147" t="s">
        <v>1474</v>
      </c>
      <c r="F508" s="150" t="s">
        <v>1126</v>
      </c>
      <c r="G508" s="158">
        <v>8000</v>
      </c>
    </row>
    <row r="509" spans="1:7" ht="24">
      <c r="A509" s="157" t="s">
        <v>1078</v>
      </c>
      <c r="B509" s="210" t="s">
        <v>476</v>
      </c>
      <c r="C509" s="150" t="s">
        <v>567</v>
      </c>
      <c r="D509" s="150" t="s">
        <v>1145</v>
      </c>
      <c r="E509" s="147" t="s">
        <v>1079</v>
      </c>
      <c r="F509" s="147"/>
      <c r="G509" s="279">
        <f>G510</f>
        <v>800</v>
      </c>
    </row>
    <row r="510" spans="1:7" ht="24">
      <c r="A510" s="152" t="s">
        <v>490</v>
      </c>
      <c r="B510" s="210" t="s">
        <v>476</v>
      </c>
      <c r="C510" s="150" t="s">
        <v>567</v>
      </c>
      <c r="D510" s="150" t="s">
        <v>1145</v>
      </c>
      <c r="E510" s="147" t="s">
        <v>1079</v>
      </c>
      <c r="F510" s="147" t="s">
        <v>489</v>
      </c>
      <c r="G510" s="279">
        <f>G511</f>
        <v>800</v>
      </c>
    </row>
    <row r="511" spans="1:7" ht="24">
      <c r="A511" s="157" t="s">
        <v>491</v>
      </c>
      <c r="B511" s="210" t="s">
        <v>476</v>
      </c>
      <c r="C511" s="150" t="s">
        <v>567</v>
      </c>
      <c r="D511" s="150" t="s">
        <v>1145</v>
      </c>
      <c r="E511" s="147" t="s">
        <v>1079</v>
      </c>
      <c r="F511" s="147" t="s">
        <v>574</v>
      </c>
      <c r="G511" s="279">
        <f>G512</f>
        <v>800</v>
      </c>
    </row>
    <row r="512" spans="1:7" ht="48">
      <c r="A512" s="157" t="s">
        <v>1706</v>
      </c>
      <c r="B512" s="210" t="s">
        <v>476</v>
      </c>
      <c r="C512" s="150" t="s">
        <v>567</v>
      </c>
      <c r="D512" s="150" t="s">
        <v>1145</v>
      </c>
      <c r="E512" s="147" t="s">
        <v>1079</v>
      </c>
      <c r="F512" s="147" t="s">
        <v>574</v>
      </c>
      <c r="G512" s="158">
        <v>800</v>
      </c>
    </row>
    <row r="513" spans="1:7" ht="15.75">
      <c r="A513" s="207" t="s">
        <v>1147</v>
      </c>
      <c r="B513" s="208" t="s">
        <v>477</v>
      </c>
      <c r="C513" s="208"/>
      <c r="D513" s="208"/>
      <c r="E513" s="208"/>
      <c r="F513" s="208"/>
      <c r="G513" s="209">
        <f>G514+G733+G828+G970+G1148+G1188+G1196+G1391+G1420+G1426</f>
        <v>3413730.9</v>
      </c>
    </row>
    <row r="514" spans="1:7" ht="15">
      <c r="A514" s="212" t="s">
        <v>70</v>
      </c>
      <c r="B514" s="210" t="s">
        <v>477</v>
      </c>
      <c r="C514" s="147" t="s">
        <v>1145</v>
      </c>
      <c r="D514" s="147"/>
      <c r="E514" s="147"/>
      <c r="F514" s="147"/>
      <c r="G514" s="155">
        <f>G515+G520+G583+G576+G596</f>
        <v>894678.2</v>
      </c>
    </row>
    <row r="515" spans="1:7" ht="24">
      <c r="A515" s="149" t="s">
        <v>1152</v>
      </c>
      <c r="B515" s="210" t="s">
        <v>477</v>
      </c>
      <c r="C515" s="147" t="s">
        <v>1145</v>
      </c>
      <c r="D515" s="150" t="s">
        <v>405</v>
      </c>
      <c r="E515" s="147"/>
      <c r="F515" s="147"/>
      <c r="G515" s="155">
        <f>G517</f>
        <v>1925.7</v>
      </c>
    </row>
    <row r="516" spans="1:7" ht="36">
      <c r="A516" s="152" t="s">
        <v>33</v>
      </c>
      <c r="B516" s="210" t="s">
        <v>477</v>
      </c>
      <c r="C516" s="150" t="s">
        <v>1145</v>
      </c>
      <c r="D516" s="150" t="s">
        <v>405</v>
      </c>
      <c r="E516" s="147" t="s">
        <v>136</v>
      </c>
      <c r="F516" s="150"/>
      <c r="G516" s="151">
        <f>G517</f>
        <v>1925.7</v>
      </c>
    </row>
    <row r="517" spans="1:7" ht="24">
      <c r="A517" s="153" t="s">
        <v>29</v>
      </c>
      <c r="B517" s="210" t="s">
        <v>477</v>
      </c>
      <c r="C517" s="150" t="s">
        <v>1145</v>
      </c>
      <c r="D517" s="150" t="s">
        <v>405</v>
      </c>
      <c r="E517" s="147" t="s">
        <v>585</v>
      </c>
      <c r="F517" s="150"/>
      <c r="G517" s="151">
        <f>G518</f>
        <v>1925.7</v>
      </c>
    </row>
    <row r="518" spans="1:7" ht="41.25" customHeight="1">
      <c r="A518" s="153" t="s">
        <v>1065</v>
      </c>
      <c r="B518" s="210" t="s">
        <v>477</v>
      </c>
      <c r="C518" s="150" t="s">
        <v>1145</v>
      </c>
      <c r="D518" s="150" t="s">
        <v>405</v>
      </c>
      <c r="E518" s="147" t="s">
        <v>585</v>
      </c>
      <c r="F518" s="150" t="s">
        <v>960</v>
      </c>
      <c r="G518" s="151">
        <f>G519</f>
        <v>1925.7</v>
      </c>
    </row>
    <row r="519" spans="1:7" ht="24">
      <c r="A519" s="153" t="s">
        <v>515</v>
      </c>
      <c r="B519" s="210" t="s">
        <v>477</v>
      </c>
      <c r="C519" s="150" t="s">
        <v>1145</v>
      </c>
      <c r="D519" s="150" t="s">
        <v>405</v>
      </c>
      <c r="E519" s="147" t="s">
        <v>585</v>
      </c>
      <c r="F519" s="150" t="s">
        <v>115</v>
      </c>
      <c r="G519" s="154">
        <f>1313+165.7+447</f>
        <v>1925.7</v>
      </c>
    </row>
    <row r="520" spans="1:7" ht="36">
      <c r="A520" s="156" t="s">
        <v>35</v>
      </c>
      <c r="B520" s="210" t="s">
        <v>477</v>
      </c>
      <c r="C520" s="147" t="s">
        <v>1145</v>
      </c>
      <c r="D520" s="147" t="s">
        <v>936</v>
      </c>
      <c r="E520" s="147"/>
      <c r="F520" s="147"/>
      <c r="G520" s="155">
        <f>G521</f>
        <v>271156.19999999995</v>
      </c>
    </row>
    <row r="521" spans="1:7" ht="24">
      <c r="A521" s="160" t="s">
        <v>1273</v>
      </c>
      <c r="B521" s="210" t="s">
        <v>477</v>
      </c>
      <c r="C521" s="147" t="s">
        <v>1145</v>
      </c>
      <c r="D521" s="147" t="s">
        <v>936</v>
      </c>
      <c r="E521" s="147" t="s">
        <v>733</v>
      </c>
      <c r="F521" s="147"/>
      <c r="G521" s="155">
        <f>G522+G542+G547+G566+G573</f>
        <v>271156.19999999995</v>
      </c>
    </row>
    <row r="522" spans="1:7" ht="24">
      <c r="A522" s="152" t="s">
        <v>1269</v>
      </c>
      <c r="B522" s="210" t="s">
        <v>477</v>
      </c>
      <c r="C522" s="147" t="s">
        <v>1145</v>
      </c>
      <c r="D522" s="147" t="s">
        <v>936</v>
      </c>
      <c r="E522" s="147" t="s">
        <v>382</v>
      </c>
      <c r="F522" s="147"/>
      <c r="G522" s="155">
        <f>G523+G527+G531+G535</f>
        <v>5202</v>
      </c>
    </row>
    <row r="523" spans="1:7" ht="36">
      <c r="A523" s="152" t="s">
        <v>1707</v>
      </c>
      <c r="B523" s="210" t="s">
        <v>477</v>
      </c>
      <c r="C523" s="147" t="s">
        <v>1145</v>
      </c>
      <c r="D523" s="147" t="s">
        <v>936</v>
      </c>
      <c r="E523" s="147" t="s">
        <v>383</v>
      </c>
      <c r="F523" s="147"/>
      <c r="G523" s="155">
        <f>G524</f>
        <v>205</v>
      </c>
    </row>
    <row r="524" spans="1:7" ht="24">
      <c r="A524" s="157" t="s">
        <v>191</v>
      </c>
      <c r="B524" s="210" t="s">
        <v>477</v>
      </c>
      <c r="C524" s="147" t="s">
        <v>1145</v>
      </c>
      <c r="D524" s="147" t="s">
        <v>936</v>
      </c>
      <c r="E524" s="147" t="s">
        <v>609</v>
      </c>
      <c r="F524" s="147"/>
      <c r="G524" s="155">
        <f>G525</f>
        <v>205</v>
      </c>
    </row>
    <row r="525" spans="1:7" ht="24">
      <c r="A525" s="153" t="s">
        <v>1066</v>
      </c>
      <c r="B525" s="210" t="s">
        <v>477</v>
      </c>
      <c r="C525" s="147" t="s">
        <v>1145</v>
      </c>
      <c r="D525" s="147" t="s">
        <v>936</v>
      </c>
      <c r="E525" s="147" t="s">
        <v>609</v>
      </c>
      <c r="F525" s="147" t="s">
        <v>529</v>
      </c>
      <c r="G525" s="155">
        <f>G526</f>
        <v>205</v>
      </c>
    </row>
    <row r="526" spans="1:7" ht="24">
      <c r="A526" s="153" t="s">
        <v>591</v>
      </c>
      <c r="B526" s="210" t="s">
        <v>477</v>
      </c>
      <c r="C526" s="147" t="s">
        <v>1145</v>
      </c>
      <c r="D526" s="147" t="s">
        <v>936</v>
      </c>
      <c r="E526" s="147" t="s">
        <v>609</v>
      </c>
      <c r="F526" s="147" t="s">
        <v>429</v>
      </c>
      <c r="G526" s="158">
        <f>4300+205-4300</f>
        <v>205</v>
      </c>
    </row>
    <row r="527" spans="1:7" ht="48">
      <c r="A527" s="153" t="s">
        <v>1631</v>
      </c>
      <c r="B527" s="210" t="s">
        <v>477</v>
      </c>
      <c r="C527" s="147" t="s">
        <v>1145</v>
      </c>
      <c r="D527" s="147" t="s">
        <v>936</v>
      </c>
      <c r="E527" s="147" t="s">
        <v>386</v>
      </c>
      <c r="F527" s="147"/>
      <c r="G527" s="155">
        <f>G528</f>
        <v>4300</v>
      </c>
    </row>
    <row r="528" spans="1:7" ht="24">
      <c r="A528" s="157" t="s">
        <v>191</v>
      </c>
      <c r="B528" s="210" t="s">
        <v>477</v>
      </c>
      <c r="C528" s="147" t="s">
        <v>1145</v>
      </c>
      <c r="D528" s="147" t="s">
        <v>936</v>
      </c>
      <c r="E528" s="147" t="s">
        <v>679</v>
      </c>
      <c r="F528" s="147"/>
      <c r="G528" s="155">
        <f>G529</f>
        <v>4300</v>
      </c>
    </row>
    <row r="529" spans="1:7" ht="24">
      <c r="A529" s="153" t="s">
        <v>1066</v>
      </c>
      <c r="B529" s="210" t="s">
        <v>477</v>
      </c>
      <c r="C529" s="147" t="s">
        <v>1145</v>
      </c>
      <c r="D529" s="147" t="s">
        <v>936</v>
      </c>
      <c r="E529" s="147" t="s">
        <v>679</v>
      </c>
      <c r="F529" s="147" t="s">
        <v>529</v>
      </c>
      <c r="G529" s="155">
        <f>G530</f>
        <v>4300</v>
      </c>
    </row>
    <row r="530" spans="1:7" ht="24">
      <c r="A530" s="153" t="s">
        <v>591</v>
      </c>
      <c r="B530" s="210" t="s">
        <v>477</v>
      </c>
      <c r="C530" s="147" t="s">
        <v>1145</v>
      </c>
      <c r="D530" s="147" t="s">
        <v>936</v>
      </c>
      <c r="E530" s="147" t="s">
        <v>679</v>
      </c>
      <c r="F530" s="147" t="s">
        <v>429</v>
      </c>
      <c r="G530" s="158">
        <f>200+77+4300-277</f>
        <v>4300</v>
      </c>
    </row>
    <row r="531" spans="1:7" ht="48">
      <c r="A531" s="153" t="s">
        <v>1632</v>
      </c>
      <c r="B531" s="210" t="s">
        <v>477</v>
      </c>
      <c r="C531" s="147" t="s">
        <v>1145</v>
      </c>
      <c r="D531" s="147" t="s">
        <v>936</v>
      </c>
      <c r="E531" s="147" t="s">
        <v>388</v>
      </c>
      <c r="F531" s="147"/>
      <c r="G531" s="155">
        <f>G532</f>
        <v>277</v>
      </c>
    </row>
    <row r="532" spans="1:7" ht="24">
      <c r="A532" s="157" t="s">
        <v>191</v>
      </c>
      <c r="B532" s="210" t="s">
        <v>477</v>
      </c>
      <c r="C532" s="147" t="s">
        <v>1145</v>
      </c>
      <c r="D532" s="147" t="s">
        <v>936</v>
      </c>
      <c r="E532" s="147" t="s">
        <v>1633</v>
      </c>
      <c r="F532" s="147"/>
      <c r="G532" s="155">
        <f>G533</f>
        <v>277</v>
      </c>
    </row>
    <row r="533" spans="1:7" ht="24">
      <c r="A533" s="153" t="s">
        <v>1066</v>
      </c>
      <c r="B533" s="210" t="s">
        <v>477</v>
      </c>
      <c r="C533" s="147" t="s">
        <v>1145</v>
      </c>
      <c r="D533" s="147" t="s">
        <v>936</v>
      </c>
      <c r="E533" s="147" t="s">
        <v>1633</v>
      </c>
      <c r="F533" s="147" t="s">
        <v>529</v>
      </c>
      <c r="G533" s="155">
        <f>G534</f>
        <v>277</v>
      </c>
    </row>
    <row r="534" spans="1:7" ht="24">
      <c r="A534" s="153" t="s">
        <v>591</v>
      </c>
      <c r="B534" s="210" t="s">
        <v>477</v>
      </c>
      <c r="C534" s="147" t="s">
        <v>1145</v>
      </c>
      <c r="D534" s="147" t="s">
        <v>936</v>
      </c>
      <c r="E534" s="147" t="s">
        <v>1633</v>
      </c>
      <c r="F534" s="147" t="s">
        <v>429</v>
      </c>
      <c r="G534" s="158">
        <v>277</v>
      </c>
    </row>
    <row r="535" spans="1:7" ht="48">
      <c r="A535" s="152" t="s">
        <v>1634</v>
      </c>
      <c r="B535" s="210" t="s">
        <v>477</v>
      </c>
      <c r="C535" s="147" t="s">
        <v>1145</v>
      </c>
      <c r="D535" s="147" t="s">
        <v>936</v>
      </c>
      <c r="E535" s="147" t="s">
        <v>745</v>
      </c>
      <c r="F535" s="147"/>
      <c r="G535" s="155">
        <f>G536+G539</f>
        <v>420</v>
      </c>
    </row>
    <row r="536" spans="1:7" ht="36">
      <c r="A536" s="153" t="s">
        <v>943</v>
      </c>
      <c r="B536" s="210" t="s">
        <v>477</v>
      </c>
      <c r="C536" s="147" t="s">
        <v>1145</v>
      </c>
      <c r="D536" s="147" t="s">
        <v>936</v>
      </c>
      <c r="E536" s="147" t="s">
        <v>608</v>
      </c>
      <c r="F536" s="147"/>
      <c r="G536" s="155">
        <f>G537</f>
        <v>420</v>
      </c>
    </row>
    <row r="537" spans="1:7" ht="24">
      <c r="A537" s="153" t="s">
        <v>1066</v>
      </c>
      <c r="B537" s="210" t="s">
        <v>477</v>
      </c>
      <c r="C537" s="147" t="s">
        <v>1145</v>
      </c>
      <c r="D537" s="147" t="s">
        <v>936</v>
      </c>
      <c r="E537" s="147" t="s">
        <v>608</v>
      </c>
      <c r="F537" s="147" t="s">
        <v>529</v>
      </c>
      <c r="G537" s="155">
        <f>G538</f>
        <v>420</v>
      </c>
    </row>
    <row r="538" spans="1:7" ht="24">
      <c r="A538" s="153" t="s">
        <v>591</v>
      </c>
      <c r="B538" s="210" t="s">
        <v>477</v>
      </c>
      <c r="C538" s="147" t="s">
        <v>1145</v>
      </c>
      <c r="D538" s="147" t="s">
        <v>936</v>
      </c>
      <c r="E538" s="147" t="s">
        <v>608</v>
      </c>
      <c r="F538" s="147" t="s">
        <v>429</v>
      </c>
      <c r="G538" s="158">
        <f>420</f>
        <v>420</v>
      </c>
    </row>
    <row r="539" spans="1:7" ht="60">
      <c r="A539" s="153" t="s">
        <v>941</v>
      </c>
      <c r="B539" s="210" t="s">
        <v>477</v>
      </c>
      <c r="C539" s="147" t="s">
        <v>1145</v>
      </c>
      <c r="D539" s="147" t="s">
        <v>936</v>
      </c>
      <c r="E539" s="147" t="s">
        <v>607</v>
      </c>
      <c r="F539" s="147"/>
      <c r="G539" s="155">
        <f>G540</f>
        <v>0</v>
      </c>
    </row>
    <row r="540" spans="1:7" ht="24">
      <c r="A540" s="153" t="s">
        <v>1066</v>
      </c>
      <c r="B540" s="210" t="s">
        <v>477</v>
      </c>
      <c r="C540" s="147" t="s">
        <v>1145</v>
      </c>
      <c r="D540" s="147" t="s">
        <v>936</v>
      </c>
      <c r="E540" s="147" t="s">
        <v>607</v>
      </c>
      <c r="F540" s="147" t="s">
        <v>529</v>
      </c>
      <c r="G540" s="155">
        <f>G541</f>
        <v>0</v>
      </c>
    </row>
    <row r="541" spans="1:7" ht="24">
      <c r="A541" s="153" t="s">
        <v>591</v>
      </c>
      <c r="B541" s="210" t="s">
        <v>477</v>
      </c>
      <c r="C541" s="147" t="s">
        <v>1145</v>
      </c>
      <c r="D541" s="147" t="s">
        <v>936</v>
      </c>
      <c r="E541" s="147" t="s">
        <v>607</v>
      </c>
      <c r="F541" s="147" t="s">
        <v>429</v>
      </c>
      <c r="G541" s="158">
        <f>490-490</f>
        <v>0</v>
      </c>
    </row>
    <row r="542" spans="1:7" ht="24">
      <c r="A542" s="153" t="s">
        <v>1270</v>
      </c>
      <c r="B542" s="210" t="s">
        <v>477</v>
      </c>
      <c r="C542" s="147" t="s">
        <v>1145</v>
      </c>
      <c r="D542" s="147" t="s">
        <v>936</v>
      </c>
      <c r="E542" s="147" t="s">
        <v>239</v>
      </c>
      <c r="F542" s="147"/>
      <c r="G542" s="155">
        <f>G543</f>
        <v>550</v>
      </c>
    </row>
    <row r="543" spans="1:7" ht="24">
      <c r="A543" s="153" t="s">
        <v>238</v>
      </c>
      <c r="B543" s="210" t="s">
        <v>477</v>
      </c>
      <c r="C543" s="147" t="s">
        <v>1145</v>
      </c>
      <c r="D543" s="147" t="s">
        <v>936</v>
      </c>
      <c r="E543" s="147" t="s">
        <v>605</v>
      </c>
      <c r="F543" s="147"/>
      <c r="G543" s="155">
        <f>G546</f>
        <v>550</v>
      </c>
    </row>
    <row r="544" spans="1:7" ht="24">
      <c r="A544" s="157" t="s">
        <v>191</v>
      </c>
      <c r="B544" s="210" t="s">
        <v>477</v>
      </c>
      <c r="C544" s="147" t="s">
        <v>1145</v>
      </c>
      <c r="D544" s="147" t="s">
        <v>936</v>
      </c>
      <c r="E544" s="147" t="s">
        <v>606</v>
      </c>
      <c r="F544" s="147"/>
      <c r="G544" s="155">
        <f>G545</f>
        <v>550</v>
      </c>
    </row>
    <row r="545" spans="1:8" ht="24">
      <c r="A545" s="153" t="s">
        <v>1066</v>
      </c>
      <c r="B545" s="210" t="s">
        <v>477</v>
      </c>
      <c r="C545" s="147" t="s">
        <v>1145</v>
      </c>
      <c r="D545" s="147" t="s">
        <v>936</v>
      </c>
      <c r="E545" s="147" t="s">
        <v>606</v>
      </c>
      <c r="F545" s="147" t="s">
        <v>529</v>
      </c>
      <c r="G545" s="155">
        <f>G546</f>
        <v>550</v>
      </c>
      <c r="H545" s="155" t="e">
        <f>SUM(H546:H546)</f>
        <v>#REF!</v>
      </c>
    </row>
    <row r="546" spans="1:8" ht="24">
      <c r="A546" s="153" t="s">
        <v>591</v>
      </c>
      <c r="B546" s="210" t="s">
        <v>477</v>
      </c>
      <c r="C546" s="147" t="s">
        <v>1145</v>
      </c>
      <c r="D546" s="147" t="s">
        <v>936</v>
      </c>
      <c r="E546" s="147" t="s">
        <v>606</v>
      </c>
      <c r="F546" s="147" t="s">
        <v>429</v>
      </c>
      <c r="G546" s="158">
        <f>550</f>
        <v>550</v>
      </c>
      <c r="H546" s="155" t="e">
        <f>#REF!-I546</f>
        <v>#REF!</v>
      </c>
    </row>
    <row r="547" spans="1:8" ht="24">
      <c r="A547" s="152" t="s">
        <v>1271</v>
      </c>
      <c r="B547" s="210" t="s">
        <v>477</v>
      </c>
      <c r="C547" s="147" t="s">
        <v>1145</v>
      </c>
      <c r="D547" s="147" t="s">
        <v>936</v>
      </c>
      <c r="E547" s="147" t="s">
        <v>240</v>
      </c>
      <c r="F547" s="147"/>
      <c r="G547" s="155">
        <f>G549+G557+G559+G562+G564</f>
        <v>257594.19999999998</v>
      </c>
      <c r="H547" s="155" t="e">
        <f>#REF!-I547</f>
        <v>#REF!</v>
      </c>
    </row>
    <row r="548" spans="1:8" ht="24">
      <c r="A548" s="152" t="s">
        <v>726</v>
      </c>
      <c r="B548" s="210" t="s">
        <v>477</v>
      </c>
      <c r="C548" s="147" t="s">
        <v>1145</v>
      </c>
      <c r="D548" s="147" t="s">
        <v>936</v>
      </c>
      <c r="E548" s="147" t="s">
        <v>241</v>
      </c>
      <c r="F548" s="147"/>
      <c r="G548" s="155">
        <f>G549</f>
        <v>248306.19999999998</v>
      </c>
      <c r="H548" s="155" t="e">
        <f>#REF!-I548</f>
        <v>#REF!</v>
      </c>
    </row>
    <row r="549" spans="1:8" ht="24">
      <c r="A549" s="157" t="s">
        <v>191</v>
      </c>
      <c r="B549" s="210" t="s">
        <v>477</v>
      </c>
      <c r="C549" s="147" t="s">
        <v>1145</v>
      </c>
      <c r="D549" s="147" t="s">
        <v>936</v>
      </c>
      <c r="E549" s="147" t="s">
        <v>242</v>
      </c>
      <c r="F549" s="147"/>
      <c r="G549" s="155">
        <f>G550+G552+G554</f>
        <v>248306.19999999998</v>
      </c>
      <c r="H549" s="155">
        <f>H551</f>
        <v>6582</v>
      </c>
    </row>
    <row r="550" spans="1:8" ht="48">
      <c r="A550" s="153" t="s">
        <v>1065</v>
      </c>
      <c r="B550" s="210" t="s">
        <v>477</v>
      </c>
      <c r="C550" s="147" t="s">
        <v>1145</v>
      </c>
      <c r="D550" s="147" t="s">
        <v>936</v>
      </c>
      <c r="E550" s="147" t="s">
        <v>242</v>
      </c>
      <c r="F550" s="147" t="s">
        <v>960</v>
      </c>
      <c r="G550" s="155">
        <f>G551</f>
        <v>220207.9</v>
      </c>
      <c r="H550" s="155">
        <f>H551</f>
        <v>6582</v>
      </c>
    </row>
    <row r="551" spans="1:8" ht="24">
      <c r="A551" s="153" t="s">
        <v>515</v>
      </c>
      <c r="B551" s="210" t="s">
        <v>477</v>
      </c>
      <c r="C551" s="147" t="s">
        <v>1145</v>
      </c>
      <c r="D551" s="147" t="s">
        <v>936</v>
      </c>
      <c r="E551" s="147" t="s">
        <v>242</v>
      </c>
      <c r="F551" s="147" t="s">
        <v>115</v>
      </c>
      <c r="G551" s="158">
        <f>218524.4-193.2-34+4955.7-2338-707</f>
        <v>220207.9</v>
      </c>
      <c r="H551" s="155">
        <f>G344-I551</f>
        <v>6582</v>
      </c>
    </row>
    <row r="552" spans="1:8" ht="24">
      <c r="A552" s="153" t="s">
        <v>1066</v>
      </c>
      <c r="B552" s="210" t="s">
        <v>477</v>
      </c>
      <c r="C552" s="147" t="s">
        <v>1145</v>
      </c>
      <c r="D552" s="147" t="s">
        <v>936</v>
      </c>
      <c r="E552" s="147" t="s">
        <v>242</v>
      </c>
      <c r="F552" s="147" t="s">
        <v>529</v>
      </c>
      <c r="G552" s="155">
        <f>G553</f>
        <v>21058.3</v>
      </c>
      <c r="H552" s="155">
        <f>G345-I552</f>
        <v>6582</v>
      </c>
    </row>
    <row r="553" spans="1:8" ht="24">
      <c r="A553" s="153" t="s">
        <v>591</v>
      </c>
      <c r="B553" s="210" t="s">
        <v>477</v>
      </c>
      <c r="C553" s="147" t="s">
        <v>1145</v>
      </c>
      <c r="D553" s="147" t="s">
        <v>936</v>
      </c>
      <c r="E553" s="147" t="s">
        <v>242</v>
      </c>
      <c r="F553" s="147" t="s">
        <v>429</v>
      </c>
      <c r="G553" s="158">
        <f>14387.6-3300+88-1000+6600+585.4+3665.5+31.8</f>
        <v>21058.3</v>
      </c>
      <c r="H553" s="155">
        <f>H555</f>
        <v>0</v>
      </c>
    </row>
    <row r="554" spans="1:8" ht="24">
      <c r="A554" s="153" t="s">
        <v>985</v>
      </c>
      <c r="B554" s="210" t="s">
        <v>477</v>
      </c>
      <c r="C554" s="147" t="s">
        <v>1145</v>
      </c>
      <c r="D554" s="147" t="s">
        <v>936</v>
      </c>
      <c r="E554" s="147" t="s">
        <v>242</v>
      </c>
      <c r="F554" s="147" t="s">
        <v>986</v>
      </c>
      <c r="G554" s="155">
        <f>G555</f>
        <v>7040</v>
      </c>
      <c r="H554" s="155">
        <f>H555</f>
        <v>0</v>
      </c>
    </row>
    <row r="555" spans="1:7" ht="24">
      <c r="A555" s="153" t="s">
        <v>459</v>
      </c>
      <c r="B555" s="210" t="s">
        <v>477</v>
      </c>
      <c r="C555" s="147" t="s">
        <v>1145</v>
      </c>
      <c r="D555" s="147" t="s">
        <v>936</v>
      </c>
      <c r="E555" s="147" t="s">
        <v>242</v>
      </c>
      <c r="F555" s="147" t="s">
        <v>460</v>
      </c>
      <c r="G555" s="158">
        <f>7040</f>
        <v>7040</v>
      </c>
    </row>
    <row r="556" spans="1:7" ht="60">
      <c r="A556" s="153" t="s">
        <v>941</v>
      </c>
      <c r="B556" s="210" t="s">
        <v>477</v>
      </c>
      <c r="C556" s="147" t="s">
        <v>1145</v>
      </c>
      <c r="D556" s="147" t="s">
        <v>936</v>
      </c>
      <c r="E556" s="147" t="s">
        <v>942</v>
      </c>
      <c r="F556" s="147"/>
      <c r="G556" s="155">
        <f>G557+G559</f>
        <v>3626</v>
      </c>
    </row>
    <row r="557" spans="1:7" ht="48">
      <c r="A557" s="153" t="s">
        <v>1065</v>
      </c>
      <c r="B557" s="210" t="s">
        <v>477</v>
      </c>
      <c r="C557" s="147" t="s">
        <v>1145</v>
      </c>
      <c r="D557" s="147" t="s">
        <v>936</v>
      </c>
      <c r="E557" s="147" t="s">
        <v>942</v>
      </c>
      <c r="F557" s="147" t="s">
        <v>960</v>
      </c>
      <c r="G557" s="155">
        <f>G558</f>
        <v>3626</v>
      </c>
    </row>
    <row r="558" spans="1:7" ht="24">
      <c r="A558" s="153" t="s">
        <v>515</v>
      </c>
      <c r="B558" s="210" t="s">
        <v>477</v>
      </c>
      <c r="C558" s="147" t="s">
        <v>1145</v>
      </c>
      <c r="D558" s="147" t="s">
        <v>936</v>
      </c>
      <c r="E558" s="147" t="s">
        <v>942</v>
      </c>
      <c r="F558" s="147" t="s">
        <v>115</v>
      </c>
      <c r="G558" s="158">
        <f>3136+490</f>
        <v>3626</v>
      </c>
    </row>
    <row r="559" spans="1:7" ht="24">
      <c r="A559" s="153" t="s">
        <v>1066</v>
      </c>
      <c r="B559" s="210" t="s">
        <v>477</v>
      </c>
      <c r="C559" s="147" t="s">
        <v>1145</v>
      </c>
      <c r="D559" s="147" t="s">
        <v>936</v>
      </c>
      <c r="E559" s="147" t="s">
        <v>942</v>
      </c>
      <c r="F559" s="147" t="s">
        <v>529</v>
      </c>
      <c r="G559" s="155">
        <f>G560</f>
        <v>0</v>
      </c>
    </row>
    <row r="560" spans="1:7" ht="24">
      <c r="A560" s="153" t="s">
        <v>591</v>
      </c>
      <c r="B560" s="210" t="s">
        <v>477</v>
      </c>
      <c r="C560" s="147" t="s">
        <v>1145</v>
      </c>
      <c r="D560" s="147" t="s">
        <v>936</v>
      </c>
      <c r="E560" s="147" t="s">
        <v>942</v>
      </c>
      <c r="F560" s="147" t="s">
        <v>429</v>
      </c>
      <c r="G560" s="158">
        <v>0</v>
      </c>
    </row>
    <row r="561" spans="1:7" ht="36">
      <c r="A561" s="153" t="s">
        <v>943</v>
      </c>
      <c r="B561" s="210" t="s">
        <v>477</v>
      </c>
      <c r="C561" s="147" t="s">
        <v>1145</v>
      </c>
      <c r="D561" s="147" t="s">
        <v>936</v>
      </c>
      <c r="E561" s="147" t="s">
        <v>944</v>
      </c>
      <c r="F561" s="147"/>
      <c r="G561" s="155">
        <f>G562+G564</f>
        <v>5662</v>
      </c>
    </row>
    <row r="562" spans="1:7" ht="48">
      <c r="A562" s="153" t="s">
        <v>1065</v>
      </c>
      <c r="B562" s="210" t="s">
        <v>477</v>
      </c>
      <c r="C562" s="147" t="s">
        <v>1145</v>
      </c>
      <c r="D562" s="147" t="s">
        <v>936</v>
      </c>
      <c r="E562" s="147" t="s">
        <v>944</v>
      </c>
      <c r="F562" s="147" t="s">
        <v>960</v>
      </c>
      <c r="G562" s="155">
        <f>G563</f>
        <v>5079.4</v>
      </c>
    </row>
    <row r="563" spans="1:7" ht="24">
      <c r="A563" s="153" t="s">
        <v>515</v>
      </c>
      <c r="B563" s="210" t="s">
        <v>477</v>
      </c>
      <c r="C563" s="147" t="s">
        <v>1145</v>
      </c>
      <c r="D563" s="147" t="s">
        <v>936</v>
      </c>
      <c r="E563" s="147" t="s">
        <v>944</v>
      </c>
      <c r="F563" s="147" t="s">
        <v>115</v>
      </c>
      <c r="G563" s="158">
        <f>5079.4</f>
        <v>5079.4</v>
      </c>
    </row>
    <row r="564" spans="1:7" ht="24">
      <c r="A564" s="153" t="s">
        <v>1066</v>
      </c>
      <c r="B564" s="210" t="s">
        <v>477</v>
      </c>
      <c r="C564" s="147" t="s">
        <v>1145</v>
      </c>
      <c r="D564" s="147" t="s">
        <v>936</v>
      </c>
      <c r="E564" s="147" t="s">
        <v>944</v>
      </c>
      <c r="F564" s="147" t="s">
        <v>529</v>
      </c>
      <c r="G564" s="155">
        <f>G565</f>
        <v>582.6</v>
      </c>
    </row>
    <row r="565" spans="1:7" ht="24">
      <c r="A565" s="153" t="s">
        <v>591</v>
      </c>
      <c r="B565" s="210" t="s">
        <v>477</v>
      </c>
      <c r="C565" s="147" t="s">
        <v>1145</v>
      </c>
      <c r="D565" s="147" t="s">
        <v>936</v>
      </c>
      <c r="E565" s="147" t="s">
        <v>944</v>
      </c>
      <c r="F565" s="147" t="s">
        <v>429</v>
      </c>
      <c r="G565" s="158">
        <v>582.6</v>
      </c>
    </row>
    <row r="566" spans="1:7" ht="24">
      <c r="A566" s="152" t="s">
        <v>1272</v>
      </c>
      <c r="B566" s="210" t="s">
        <v>477</v>
      </c>
      <c r="C566" s="147" t="s">
        <v>1145</v>
      </c>
      <c r="D566" s="147" t="s">
        <v>936</v>
      </c>
      <c r="E566" s="147" t="s">
        <v>128</v>
      </c>
      <c r="F566" s="147"/>
      <c r="G566" s="155">
        <f>G568</f>
        <v>3441</v>
      </c>
    </row>
    <row r="567" spans="1:7" ht="24">
      <c r="A567" s="152" t="s">
        <v>131</v>
      </c>
      <c r="B567" s="210" t="s">
        <v>477</v>
      </c>
      <c r="C567" s="147" t="s">
        <v>1145</v>
      </c>
      <c r="D567" s="147" t="s">
        <v>936</v>
      </c>
      <c r="E567" s="147" t="s">
        <v>132</v>
      </c>
      <c r="F567" s="147"/>
      <c r="G567" s="155">
        <f>G568</f>
        <v>3441</v>
      </c>
    </row>
    <row r="568" spans="1:7" ht="48">
      <c r="A568" s="152" t="s">
        <v>127</v>
      </c>
      <c r="B568" s="210" t="s">
        <v>477</v>
      </c>
      <c r="C568" s="147" t="s">
        <v>1145</v>
      </c>
      <c r="D568" s="147" t="s">
        <v>936</v>
      </c>
      <c r="E568" s="147" t="s">
        <v>129</v>
      </c>
      <c r="F568" s="147"/>
      <c r="G568" s="155">
        <f>G569+G571</f>
        <v>3441</v>
      </c>
    </row>
    <row r="569" spans="1:7" ht="48">
      <c r="A569" s="153" t="s">
        <v>1065</v>
      </c>
      <c r="B569" s="210" t="s">
        <v>477</v>
      </c>
      <c r="C569" s="147" t="s">
        <v>1145</v>
      </c>
      <c r="D569" s="147" t="s">
        <v>936</v>
      </c>
      <c r="E569" s="147" t="s">
        <v>129</v>
      </c>
      <c r="F569" s="147" t="s">
        <v>960</v>
      </c>
      <c r="G569" s="155">
        <f>G570</f>
        <v>3441</v>
      </c>
    </row>
    <row r="570" spans="1:7" ht="24">
      <c r="A570" s="153" t="s">
        <v>515</v>
      </c>
      <c r="B570" s="210" t="s">
        <v>477</v>
      </c>
      <c r="C570" s="147" t="s">
        <v>1145</v>
      </c>
      <c r="D570" s="147" t="s">
        <v>936</v>
      </c>
      <c r="E570" s="147" t="s">
        <v>129</v>
      </c>
      <c r="F570" s="147" t="s">
        <v>115</v>
      </c>
      <c r="G570" s="158">
        <f>2821+475.9+144.1</f>
        <v>3441</v>
      </c>
    </row>
    <row r="571" spans="1:7" ht="24">
      <c r="A571" s="153" t="s">
        <v>1066</v>
      </c>
      <c r="B571" s="210" t="s">
        <v>477</v>
      </c>
      <c r="C571" s="147" t="s">
        <v>1145</v>
      </c>
      <c r="D571" s="147" t="s">
        <v>936</v>
      </c>
      <c r="E571" s="147" t="s">
        <v>129</v>
      </c>
      <c r="F571" s="147" t="s">
        <v>529</v>
      </c>
      <c r="G571" s="155">
        <f>G572</f>
        <v>0</v>
      </c>
    </row>
    <row r="572" spans="1:7" ht="24">
      <c r="A572" s="157" t="s">
        <v>546</v>
      </c>
      <c r="B572" s="210" t="s">
        <v>477</v>
      </c>
      <c r="C572" s="147" t="s">
        <v>1145</v>
      </c>
      <c r="D572" s="147" t="s">
        <v>936</v>
      </c>
      <c r="E572" s="147" t="s">
        <v>129</v>
      </c>
      <c r="F572" s="147" t="s">
        <v>429</v>
      </c>
      <c r="G572" s="158">
        <f>741.7-741.7</f>
        <v>0</v>
      </c>
    </row>
    <row r="573" spans="1:7" ht="60">
      <c r="A573" s="153" t="s">
        <v>445</v>
      </c>
      <c r="B573" s="210" t="s">
        <v>477</v>
      </c>
      <c r="C573" s="147" t="s">
        <v>1145</v>
      </c>
      <c r="D573" s="147" t="s">
        <v>936</v>
      </c>
      <c r="E573" s="147" t="s">
        <v>734</v>
      </c>
      <c r="F573" s="147"/>
      <c r="G573" s="279">
        <f>G574</f>
        <v>4369</v>
      </c>
    </row>
    <row r="574" spans="1:7" ht="48">
      <c r="A574" s="153" t="s">
        <v>1065</v>
      </c>
      <c r="B574" s="210" t="s">
        <v>477</v>
      </c>
      <c r="C574" s="147" t="s">
        <v>1145</v>
      </c>
      <c r="D574" s="147" t="s">
        <v>936</v>
      </c>
      <c r="E574" s="147" t="s">
        <v>734</v>
      </c>
      <c r="F574" s="147" t="s">
        <v>960</v>
      </c>
      <c r="G574" s="279">
        <f>G575</f>
        <v>4369</v>
      </c>
    </row>
    <row r="575" spans="1:7" ht="24">
      <c r="A575" s="153" t="s">
        <v>515</v>
      </c>
      <c r="B575" s="210" t="s">
        <v>477</v>
      </c>
      <c r="C575" s="147" t="s">
        <v>1145</v>
      </c>
      <c r="D575" s="147" t="s">
        <v>936</v>
      </c>
      <c r="E575" s="147" t="s">
        <v>734</v>
      </c>
      <c r="F575" s="147" t="s">
        <v>115</v>
      </c>
      <c r="G575" s="158">
        <f>2684.3+810.7+874</f>
        <v>4369</v>
      </c>
    </row>
    <row r="576" spans="1:7" ht="15">
      <c r="A576" s="295" t="s">
        <v>716</v>
      </c>
      <c r="B576" s="210" t="s">
        <v>477</v>
      </c>
      <c r="C576" s="296" t="s">
        <v>1145</v>
      </c>
      <c r="D576" s="296" t="s">
        <v>434</v>
      </c>
      <c r="E576" s="296"/>
      <c r="F576" s="296"/>
      <c r="G576" s="297">
        <f>G577</f>
        <v>6650</v>
      </c>
    </row>
    <row r="577" spans="1:7" ht="24">
      <c r="A577" s="298" t="s">
        <v>1268</v>
      </c>
      <c r="B577" s="210" t="s">
        <v>477</v>
      </c>
      <c r="C577" s="296" t="s">
        <v>1145</v>
      </c>
      <c r="D577" s="296" t="s">
        <v>434</v>
      </c>
      <c r="E577" s="296" t="s">
        <v>733</v>
      </c>
      <c r="F577" s="296"/>
      <c r="G577" s="297">
        <f>G578</f>
        <v>6650</v>
      </c>
    </row>
    <row r="578" spans="1:7" ht="24">
      <c r="A578" s="299" t="s">
        <v>1271</v>
      </c>
      <c r="B578" s="210" t="s">
        <v>477</v>
      </c>
      <c r="C578" s="296" t="s">
        <v>1145</v>
      </c>
      <c r="D578" s="296" t="s">
        <v>434</v>
      </c>
      <c r="E578" s="296" t="s">
        <v>240</v>
      </c>
      <c r="F578" s="296"/>
      <c r="G578" s="297">
        <f>G580</f>
        <v>6650</v>
      </c>
    </row>
    <row r="579" spans="1:7" ht="24">
      <c r="A579" s="299" t="s">
        <v>1275</v>
      </c>
      <c r="B579" s="210" t="s">
        <v>477</v>
      </c>
      <c r="C579" s="296" t="s">
        <v>1145</v>
      </c>
      <c r="D579" s="296" t="s">
        <v>434</v>
      </c>
      <c r="E579" s="296" t="s">
        <v>1507</v>
      </c>
      <c r="F579" s="296"/>
      <c r="G579" s="297"/>
    </row>
    <row r="580" spans="1:7" ht="24">
      <c r="A580" s="300" t="s">
        <v>400</v>
      </c>
      <c r="B580" s="210" t="s">
        <v>477</v>
      </c>
      <c r="C580" s="296" t="s">
        <v>1145</v>
      </c>
      <c r="D580" s="296" t="s">
        <v>434</v>
      </c>
      <c r="E580" s="147" t="s">
        <v>1508</v>
      </c>
      <c r="F580" s="296"/>
      <c r="G580" s="297">
        <f>G581</f>
        <v>6650</v>
      </c>
    </row>
    <row r="581" spans="1:7" ht="24">
      <c r="A581" s="301" t="s">
        <v>985</v>
      </c>
      <c r="B581" s="210" t="s">
        <v>477</v>
      </c>
      <c r="C581" s="296" t="s">
        <v>1145</v>
      </c>
      <c r="D581" s="296" t="s">
        <v>434</v>
      </c>
      <c r="E581" s="147" t="s">
        <v>1508</v>
      </c>
      <c r="F581" s="296" t="s">
        <v>986</v>
      </c>
      <c r="G581" s="297">
        <f>G582</f>
        <v>6650</v>
      </c>
    </row>
    <row r="582" spans="1:7" ht="24">
      <c r="A582" s="299" t="s">
        <v>987</v>
      </c>
      <c r="B582" s="210" t="s">
        <v>477</v>
      </c>
      <c r="C582" s="296" t="s">
        <v>1145</v>
      </c>
      <c r="D582" s="296" t="s">
        <v>434</v>
      </c>
      <c r="E582" s="147" t="s">
        <v>1508</v>
      </c>
      <c r="F582" s="296" t="s">
        <v>988</v>
      </c>
      <c r="G582" s="302">
        <f>6500-300+450</f>
        <v>6650</v>
      </c>
    </row>
    <row r="583" spans="1:7" ht="15">
      <c r="A583" s="156" t="s">
        <v>347</v>
      </c>
      <c r="B583" s="210" t="s">
        <v>477</v>
      </c>
      <c r="C583" s="147" t="s">
        <v>1145</v>
      </c>
      <c r="D583" s="147" t="s">
        <v>567</v>
      </c>
      <c r="E583" s="163"/>
      <c r="F583" s="147"/>
      <c r="G583" s="155">
        <f>G584+G590</f>
        <v>5310</v>
      </c>
    </row>
    <row r="584" spans="1:7" ht="24">
      <c r="A584" s="160" t="s">
        <v>1276</v>
      </c>
      <c r="B584" s="210" t="s">
        <v>477</v>
      </c>
      <c r="C584" s="147" t="s">
        <v>1145</v>
      </c>
      <c r="D584" s="147" t="s">
        <v>567</v>
      </c>
      <c r="E584" s="253" t="s">
        <v>193</v>
      </c>
      <c r="F584" s="150"/>
      <c r="G584" s="155">
        <f>G585</f>
        <v>1900</v>
      </c>
    </row>
    <row r="585" spans="1:7" ht="48">
      <c r="A585" s="152" t="s">
        <v>1277</v>
      </c>
      <c r="B585" s="210" t="s">
        <v>477</v>
      </c>
      <c r="C585" s="147" t="s">
        <v>1145</v>
      </c>
      <c r="D585" s="147" t="s">
        <v>567</v>
      </c>
      <c r="E585" s="216" t="s">
        <v>194</v>
      </c>
      <c r="F585" s="150"/>
      <c r="G585" s="155">
        <f>G586</f>
        <v>1900</v>
      </c>
    </row>
    <row r="586" spans="1:7" ht="48">
      <c r="A586" s="152" t="s">
        <v>192</v>
      </c>
      <c r="B586" s="210" t="s">
        <v>477</v>
      </c>
      <c r="C586" s="147" t="s">
        <v>1145</v>
      </c>
      <c r="D586" s="147" t="s">
        <v>567</v>
      </c>
      <c r="E586" s="216" t="s">
        <v>195</v>
      </c>
      <c r="F586" s="150"/>
      <c r="G586" s="155">
        <f>G587</f>
        <v>1900</v>
      </c>
    </row>
    <row r="587" spans="1:7" ht="24">
      <c r="A587" s="152" t="s">
        <v>196</v>
      </c>
      <c r="B587" s="210" t="s">
        <v>477</v>
      </c>
      <c r="C587" s="147" t="s">
        <v>1145</v>
      </c>
      <c r="D587" s="147" t="s">
        <v>567</v>
      </c>
      <c r="E587" s="216" t="s">
        <v>197</v>
      </c>
      <c r="F587" s="150"/>
      <c r="G587" s="155">
        <f>G588</f>
        <v>1900</v>
      </c>
    </row>
    <row r="588" spans="1:7" ht="15">
      <c r="A588" s="153" t="s">
        <v>985</v>
      </c>
      <c r="B588" s="210" t="s">
        <v>477</v>
      </c>
      <c r="C588" s="147" t="s">
        <v>1145</v>
      </c>
      <c r="D588" s="147" t="s">
        <v>567</v>
      </c>
      <c r="E588" s="216" t="s">
        <v>197</v>
      </c>
      <c r="F588" s="150" t="s">
        <v>986</v>
      </c>
      <c r="G588" s="155">
        <f>G589</f>
        <v>1900</v>
      </c>
    </row>
    <row r="589" spans="1:7" ht="15">
      <c r="A589" s="157" t="s">
        <v>929</v>
      </c>
      <c r="B589" s="210" t="s">
        <v>477</v>
      </c>
      <c r="C589" s="147" t="s">
        <v>1145</v>
      </c>
      <c r="D589" s="147" t="s">
        <v>567</v>
      </c>
      <c r="E589" s="216" t="s">
        <v>197</v>
      </c>
      <c r="F589" s="150" t="s">
        <v>930</v>
      </c>
      <c r="G589" s="158">
        <f>1000+1000-100</f>
        <v>1900</v>
      </c>
    </row>
    <row r="590" spans="1:7" ht="24">
      <c r="A590" s="160" t="s">
        <v>1273</v>
      </c>
      <c r="B590" s="210" t="s">
        <v>477</v>
      </c>
      <c r="C590" s="147" t="s">
        <v>443</v>
      </c>
      <c r="D590" s="147" t="s">
        <v>567</v>
      </c>
      <c r="E590" s="216" t="s">
        <v>733</v>
      </c>
      <c r="F590" s="147"/>
      <c r="G590" s="155">
        <f>G591</f>
        <v>3410</v>
      </c>
    </row>
    <row r="591" spans="1:7" ht="24">
      <c r="A591" s="152" t="s">
        <v>1278</v>
      </c>
      <c r="B591" s="210" t="s">
        <v>477</v>
      </c>
      <c r="C591" s="147" t="s">
        <v>1145</v>
      </c>
      <c r="D591" s="147" t="s">
        <v>567</v>
      </c>
      <c r="E591" s="216" t="s">
        <v>948</v>
      </c>
      <c r="F591" s="147"/>
      <c r="G591" s="155">
        <f>G592</f>
        <v>3410</v>
      </c>
    </row>
    <row r="592" spans="1:7" ht="24">
      <c r="A592" s="152" t="s">
        <v>949</v>
      </c>
      <c r="B592" s="210" t="s">
        <v>477</v>
      </c>
      <c r="C592" s="147" t="s">
        <v>1145</v>
      </c>
      <c r="D592" s="147" t="s">
        <v>567</v>
      </c>
      <c r="E592" s="147" t="s">
        <v>945</v>
      </c>
      <c r="F592" s="147"/>
      <c r="G592" s="155">
        <f>G593</f>
        <v>3410</v>
      </c>
    </row>
    <row r="593" spans="1:7" ht="24">
      <c r="A593" s="157" t="s">
        <v>947</v>
      </c>
      <c r="B593" s="210" t="s">
        <v>477</v>
      </c>
      <c r="C593" s="147" t="s">
        <v>1145</v>
      </c>
      <c r="D593" s="147" t="s">
        <v>567</v>
      </c>
      <c r="E593" s="147" t="s">
        <v>946</v>
      </c>
      <c r="F593" s="147"/>
      <c r="G593" s="155">
        <f>G594</f>
        <v>3410</v>
      </c>
    </row>
    <row r="594" spans="1:7" ht="24">
      <c r="A594" s="153" t="s">
        <v>985</v>
      </c>
      <c r="B594" s="210" t="s">
        <v>477</v>
      </c>
      <c r="C594" s="147" t="s">
        <v>1145</v>
      </c>
      <c r="D594" s="147" t="s">
        <v>567</v>
      </c>
      <c r="E594" s="147" t="s">
        <v>946</v>
      </c>
      <c r="F594" s="147" t="s">
        <v>986</v>
      </c>
      <c r="G594" s="155">
        <f>G595</f>
        <v>3410</v>
      </c>
    </row>
    <row r="595" spans="1:7" ht="24">
      <c r="A595" s="157" t="s">
        <v>929</v>
      </c>
      <c r="B595" s="210" t="s">
        <v>477</v>
      </c>
      <c r="C595" s="147" t="s">
        <v>1145</v>
      </c>
      <c r="D595" s="147" t="s">
        <v>567</v>
      </c>
      <c r="E595" s="147" t="s">
        <v>946</v>
      </c>
      <c r="F595" s="147" t="s">
        <v>930</v>
      </c>
      <c r="G595" s="158">
        <f>5000-780-30-210-60-60-450</f>
        <v>3410</v>
      </c>
    </row>
    <row r="596" spans="1:7" ht="15">
      <c r="A596" s="156" t="s">
        <v>30</v>
      </c>
      <c r="B596" s="210" t="s">
        <v>477</v>
      </c>
      <c r="C596" s="147" t="s">
        <v>1145</v>
      </c>
      <c r="D596" s="147" t="s">
        <v>900</v>
      </c>
      <c r="E596" s="147"/>
      <c r="F596" s="147"/>
      <c r="G596" s="155">
        <f>G597+G603+G716+G730</f>
        <v>609636.3</v>
      </c>
    </row>
    <row r="597" spans="1:7" ht="24">
      <c r="A597" s="164" t="s">
        <v>1317</v>
      </c>
      <c r="B597" s="210" t="s">
        <v>477</v>
      </c>
      <c r="C597" s="147" t="s">
        <v>1145</v>
      </c>
      <c r="D597" s="147" t="s">
        <v>900</v>
      </c>
      <c r="E597" s="147" t="s">
        <v>137</v>
      </c>
      <c r="F597" s="147"/>
      <c r="G597" s="155">
        <f>G598</f>
        <v>2691.3</v>
      </c>
    </row>
    <row r="598" spans="1:7" ht="24">
      <c r="A598" s="152" t="s">
        <v>1280</v>
      </c>
      <c r="B598" s="210" t="s">
        <v>477</v>
      </c>
      <c r="C598" s="147" t="s">
        <v>1145</v>
      </c>
      <c r="D598" s="147" t="s">
        <v>900</v>
      </c>
      <c r="E598" s="147" t="s">
        <v>138</v>
      </c>
      <c r="F598" s="147"/>
      <c r="G598" s="155">
        <f>G599</f>
        <v>2691.3</v>
      </c>
    </row>
    <row r="599" spans="1:7" ht="36">
      <c r="A599" s="152" t="s">
        <v>1491</v>
      </c>
      <c r="B599" s="210" t="s">
        <v>477</v>
      </c>
      <c r="C599" s="147" t="s">
        <v>1145</v>
      </c>
      <c r="D599" s="147" t="s">
        <v>900</v>
      </c>
      <c r="E599" s="147" t="s">
        <v>139</v>
      </c>
      <c r="F599" s="147"/>
      <c r="G599" s="155">
        <f>G601</f>
        <v>2691.3</v>
      </c>
    </row>
    <row r="600" spans="1:7" ht="24">
      <c r="A600" s="152" t="s">
        <v>141</v>
      </c>
      <c r="B600" s="210" t="s">
        <v>477</v>
      </c>
      <c r="C600" s="147" t="s">
        <v>1145</v>
      </c>
      <c r="D600" s="147" t="s">
        <v>900</v>
      </c>
      <c r="E600" s="147" t="s">
        <v>140</v>
      </c>
      <c r="F600" s="147"/>
      <c r="G600" s="155">
        <f>G601</f>
        <v>2691.3</v>
      </c>
    </row>
    <row r="601" spans="1:7" ht="24">
      <c r="A601" s="157" t="s">
        <v>985</v>
      </c>
      <c r="B601" s="210" t="s">
        <v>477</v>
      </c>
      <c r="C601" s="147" t="s">
        <v>1145</v>
      </c>
      <c r="D601" s="147" t="s">
        <v>900</v>
      </c>
      <c r="E601" s="147" t="s">
        <v>140</v>
      </c>
      <c r="F601" s="147" t="s">
        <v>986</v>
      </c>
      <c r="G601" s="155">
        <f>G602</f>
        <v>2691.3</v>
      </c>
    </row>
    <row r="602" spans="1:7" ht="36">
      <c r="A602" s="152" t="s">
        <v>163</v>
      </c>
      <c r="B602" s="210" t="s">
        <v>477</v>
      </c>
      <c r="C602" s="147" t="s">
        <v>1145</v>
      </c>
      <c r="D602" s="147" t="s">
        <v>900</v>
      </c>
      <c r="E602" s="147" t="s">
        <v>140</v>
      </c>
      <c r="F602" s="147" t="s">
        <v>556</v>
      </c>
      <c r="G602" s="158">
        <f>2562+21.5+107.8</f>
        <v>2691.3</v>
      </c>
    </row>
    <row r="603" spans="1:7" ht="24">
      <c r="A603" s="160" t="s">
        <v>1268</v>
      </c>
      <c r="B603" s="210" t="s">
        <v>477</v>
      </c>
      <c r="C603" s="147" t="s">
        <v>1145</v>
      </c>
      <c r="D603" s="147" t="s">
        <v>900</v>
      </c>
      <c r="E603" s="147" t="s">
        <v>733</v>
      </c>
      <c r="F603" s="147"/>
      <c r="G603" s="155">
        <f>G616+G633+G643+G604+G653+G661+G689+G698+G707</f>
        <v>606545</v>
      </c>
    </row>
    <row r="604" spans="1:7" ht="60">
      <c r="A604" s="159" t="s">
        <v>1635</v>
      </c>
      <c r="B604" s="210" t="s">
        <v>477</v>
      </c>
      <c r="C604" s="147" t="s">
        <v>1145</v>
      </c>
      <c r="D604" s="147" t="s">
        <v>900</v>
      </c>
      <c r="E604" s="147" t="s">
        <v>144</v>
      </c>
      <c r="F604" s="147"/>
      <c r="G604" s="155">
        <f>G605</f>
        <v>106627.2</v>
      </c>
    </row>
    <row r="605" spans="1:7" ht="24">
      <c r="A605" s="159" t="s">
        <v>142</v>
      </c>
      <c r="B605" s="210" t="s">
        <v>477</v>
      </c>
      <c r="C605" s="147" t="s">
        <v>1145</v>
      </c>
      <c r="D605" s="147" t="s">
        <v>900</v>
      </c>
      <c r="E605" s="147" t="s">
        <v>610</v>
      </c>
      <c r="F605" s="147"/>
      <c r="G605" s="155">
        <f>G606</f>
        <v>106627.2</v>
      </c>
    </row>
    <row r="606" spans="1:7" ht="24">
      <c r="A606" s="159" t="s">
        <v>143</v>
      </c>
      <c r="B606" s="210" t="s">
        <v>477</v>
      </c>
      <c r="C606" s="147" t="s">
        <v>1145</v>
      </c>
      <c r="D606" s="147" t="s">
        <v>900</v>
      </c>
      <c r="E606" s="147" t="s">
        <v>611</v>
      </c>
      <c r="F606" s="147"/>
      <c r="G606" s="155">
        <f>G607</f>
        <v>106627.2</v>
      </c>
    </row>
    <row r="607" spans="1:7" ht="24">
      <c r="A607" s="152" t="s">
        <v>490</v>
      </c>
      <c r="B607" s="210" t="s">
        <v>477</v>
      </c>
      <c r="C607" s="147" t="s">
        <v>1145</v>
      </c>
      <c r="D607" s="147" t="s">
        <v>900</v>
      </c>
      <c r="E607" s="147" t="s">
        <v>611</v>
      </c>
      <c r="F607" s="147" t="s">
        <v>489</v>
      </c>
      <c r="G607" s="155">
        <f>G608</f>
        <v>106627.2</v>
      </c>
    </row>
    <row r="608" spans="1:7" ht="24">
      <c r="A608" s="157" t="s">
        <v>896</v>
      </c>
      <c r="B608" s="210" t="s">
        <v>477</v>
      </c>
      <c r="C608" s="147" t="s">
        <v>1145</v>
      </c>
      <c r="D608" s="147" t="s">
        <v>900</v>
      </c>
      <c r="E608" s="147" t="s">
        <v>611</v>
      </c>
      <c r="F608" s="147" t="s">
        <v>574</v>
      </c>
      <c r="G608" s="158">
        <f>84000+200+G609+G610+G611+G612+G613+G614+G615</f>
        <v>106627.2</v>
      </c>
    </row>
    <row r="609" spans="1:7" ht="24">
      <c r="A609" s="157" t="s">
        <v>1535</v>
      </c>
      <c r="B609" s="210" t="s">
        <v>477</v>
      </c>
      <c r="C609" s="147" t="s">
        <v>1145</v>
      </c>
      <c r="D609" s="147" t="s">
        <v>900</v>
      </c>
      <c r="E609" s="147" t="s">
        <v>611</v>
      </c>
      <c r="F609" s="147" t="s">
        <v>574</v>
      </c>
      <c r="G609" s="158">
        <v>1000</v>
      </c>
    </row>
    <row r="610" spans="1:7" ht="36">
      <c r="A610" s="157" t="s">
        <v>1536</v>
      </c>
      <c r="B610" s="210" t="s">
        <v>477</v>
      </c>
      <c r="C610" s="147" t="s">
        <v>1145</v>
      </c>
      <c r="D610" s="147" t="s">
        <v>900</v>
      </c>
      <c r="E610" s="147" t="s">
        <v>611</v>
      </c>
      <c r="F610" s="147" t="s">
        <v>574</v>
      </c>
      <c r="G610" s="158">
        <v>1450</v>
      </c>
    </row>
    <row r="611" spans="1:7" ht="24">
      <c r="A611" s="157" t="s">
        <v>1587</v>
      </c>
      <c r="B611" s="210" t="s">
        <v>477</v>
      </c>
      <c r="C611" s="147" t="s">
        <v>1145</v>
      </c>
      <c r="D611" s="147" t="s">
        <v>900</v>
      </c>
      <c r="E611" s="147" t="s">
        <v>611</v>
      </c>
      <c r="F611" s="147" t="s">
        <v>574</v>
      </c>
      <c r="G611" s="317">
        <v>355.7</v>
      </c>
    </row>
    <row r="612" spans="1:7" ht="24">
      <c r="A612" s="157" t="s">
        <v>1588</v>
      </c>
      <c r="B612" s="210" t="s">
        <v>477</v>
      </c>
      <c r="C612" s="147" t="s">
        <v>1145</v>
      </c>
      <c r="D612" s="147" t="s">
        <v>900</v>
      </c>
      <c r="E612" s="147" t="s">
        <v>611</v>
      </c>
      <c r="F612" s="147" t="s">
        <v>574</v>
      </c>
      <c r="G612" s="317">
        <v>87.2</v>
      </c>
    </row>
    <row r="613" spans="1:7" ht="24">
      <c r="A613" s="157" t="s">
        <v>1636</v>
      </c>
      <c r="B613" s="210" t="s">
        <v>477</v>
      </c>
      <c r="C613" s="147" t="s">
        <v>1145</v>
      </c>
      <c r="D613" s="147" t="s">
        <v>900</v>
      </c>
      <c r="E613" s="147" t="s">
        <v>611</v>
      </c>
      <c r="F613" s="147" t="s">
        <v>574</v>
      </c>
      <c r="G613" s="317">
        <f>13644.3+5400</f>
        <v>19044.3</v>
      </c>
    </row>
    <row r="614" spans="1:7" ht="24">
      <c r="A614" s="157" t="s">
        <v>1787</v>
      </c>
      <c r="B614" s="210" t="s">
        <v>477</v>
      </c>
      <c r="C614" s="147" t="s">
        <v>1145</v>
      </c>
      <c r="D614" s="147" t="s">
        <v>900</v>
      </c>
      <c r="E614" s="147" t="s">
        <v>611</v>
      </c>
      <c r="F614" s="147" t="s">
        <v>574</v>
      </c>
      <c r="G614" s="158">
        <v>230</v>
      </c>
    </row>
    <row r="615" spans="1:7" ht="24">
      <c r="A615" s="157" t="s">
        <v>1789</v>
      </c>
      <c r="B615" s="210" t="s">
        <v>477</v>
      </c>
      <c r="C615" s="147" t="s">
        <v>1145</v>
      </c>
      <c r="D615" s="147" t="s">
        <v>900</v>
      </c>
      <c r="E615" s="147" t="s">
        <v>611</v>
      </c>
      <c r="F615" s="147" t="s">
        <v>574</v>
      </c>
      <c r="G615" s="158">
        <v>260</v>
      </c>
    </row>
    <row r="616" spans="1:7" ht="24">
      <c r="A616" s="152" t="s">
        <v>1271</v>
      </c>
      <c r="B616" s="210" t="s">
        <v>477</v>
      </c>
      <c r="C616" s="147" t="s">
        <v>1145</v>
      </c>
      <c r="D616" s="147" t="s">
        <v>900</v>
      </c>
      <c r="E616" s="147" t="s">
        <v>240</v>
      </c>
      <c r="F616" s="147"/>
      <c r="G616" s="271">
        <f>G617</f>
        <v>41427.100000000006</v>
      </c>
    </row>
    <row r="617" spans="1:7" ht="36">
      <c r="A617" s="152" t="s">
        <v>997</v>
      </c>
      <c r="B617" s="210" t="s">
        <v>477</v>
      </c>
      <c r="C617" s="147" t="s">
        <v>1145</v>
      </c>
      <c r="D617" s="147" t="s">
        <v>900</v>
      </c>
      <c r="E617" s="147" t="s">
        <v>998</v>
      </c>
      <c r="F617" s="147"/>
      <c r="G617" s="155">
        <f>G618+G624+G627+G630</f>
        <v>41427.100000000006</v>
      </c>
    </row>
    <row r="618" spans="1:7" ht="24">
      <c r="A618" s="152" t="s">
        <v>190</v>
      </c>
      <c r="B618" s="210" t="s">
        <v>477</v>
      </c>
      <c r="C618" s="147" t="s">
        <v>1145</v>
      </c>
      <c r="D618" s="147" t="s">
        <v>900</v>
      </c>
      <c r="E618" s="147" t="s">
        <v>1107</v>
      </c>
      <c r="F618" s="147"/>
      <c r="G618" s="155">
        <f>G619+G621</f>
        <v>25980.300000000003</v>
      </c>
    </row>
    <row r="619" spans="1:7" ht="24">
      <c r="A619" s="153" t="s">
        <v>1066</v>
      </c>
      <c r="B619" s="210" t="s">
        <v>477</v>
      </c>
      <c r="C619" s="147" t="s">
        <v>1145</v>
      </c>
      <c r="D619" s="147" t="s">
        <v>1247</v>
      </c>
      <c r="E619" s="147" t="s">
        <v>1107</v>
      </c>
      <c r="F619" s="147" t="s">
        <v>529</v>
      </c>
      <c r="G619" s="155">
        <f>G620</f>
        <v>23709.600000000002</v>
      </c>
    </row>
    <row r="620" spans="1:7" ht="24">
      <c r="A620" s="153" t="s">
        <v>974</v>
      </c>
      <c r="B620" s="210" t="s">
        <v>477</v>
      </c>
      <c r="C620" s="147" t="s">
        <v>1145</v>
      </c>
      <c r="D620" s="147" t="s">
        <v>1247</v>
      </c>
      <c r="E620" s="147" t="s">
        <v>1107</v>
      </c>
      <c r="F620" s="147" t="s">
        <v>429</v>
      </c>
      <c r="G620" s="158">
        <f>1974+3894.5+6629.6-88+350.2+5000+100+100+300-161.9+100+50+343-315-200+73.9-30-28+285+98+4522.7+1395-127.7-42-100-413.7</f>
        <v>23709.600000000002</v>
      </c>
    </row>
    <row r="621" spans="1:7" ht="24">
      <c r="A621" s="301" t="s">
        <v>985</v>
      </c>
      <c r="B621" s="210" t="s">
        <v>477</v>
      </c>
      <c r="C621" s="296" t="s">
        <v>1145</v>
      </c>
      <c r="D621" s="296" t="s">
        <v>900</v>
      </c>
      <c r="E621" s="296" t="s">
        <v>1107</v>
      </c>
      <c r="F621" s="296" t="s">
        <v>986</v>
      </c>
      <c r="G621" s="297">
        <f>G622+G623</f>
        <v>2270.7</v>
      </c>
    </row>
    <row r="622" spans="1:7" ht="24">
      <c r="A622" s="301" t="s">
        <v>972</v>
      </c>
      <c r="B622" s="210" t="s">
        <v>477</v>
      </c>
      <c r="C622" s="296" t="s">
        <v>1145</v>
      </c>
      <c r="D622" s="296" t="s">
        <v>900</v>
      </c>
      <c r="E622" s="296" t="s">
        <v>1107</v>
      </c>
      <c r="F622" s="296" t="s">
        <v>973</v>
      </c>
      <c r="G622" s="302">
        <f>500+315+200+28+64+127.7</f>
        <v>1234.7</v>
      </c>
    </row>
    <row r="623" spans="1:7" ht="24">
      <c r="A623" s="301" t="s">
        <v>459</v>
      </c>
      <c r="B623" s="210" t="s">
        <v>477</v>
      </c>
      <c r="C623" s="296" t="s">
        <v>1145</v>
      </c>
      <c r="D623" s="296" t="s">
        <v>900</v>
      </c>
      <c r="E623" s="296" t="s">
        <v>1107</v>
      </c>
      <c r="F623" s="296" t="s">
        <v>460</v>
      </c>
      <c r="G623" s="302">
        <f>750+120+30-64+200</f>
        <v>1036</v>
      </c>
    </row>
    <row r="624" spans="1:7" ht="24">
      <c r="A624" s="299" t="s">
        <v>1281</v>
      </c>
      <c r="B624" s="210" t="s">
        <v>477</v>
      </c>
      <c r="C624" s="296" t="s">
        <v>1145</v>
      </c>
      <c r="D624" s="296" t="s">
        <v>900</v>
      </c>
      <c r="E624" s="296" t="s">
        <v>1282</v>
      </c>
      <c r="F624" s="296"/>
      <c r="G624" s="303">
        <f>G625</f>
        <v>1020.8</v>
      </c>
    </row>
    <row r="625" spans="1:7" ht="24">
      <c r="A625" s="301" t="s">
        <v>985</v>
      </c>
      <c r="B625" s="210" t="s">
        <v>477</v>
      </c>
      <c r="C625" s="296" t="s">
        <v>1145</v>
      </c>
      <c r="D625" s="296" t="s">
        <v>900</v>
      </c>
      <c r="E625" s="296" t="s">
        <v>1282</v>
      </c>
      <c r="F625" s="296" t="s">
        <v>986</v>
      </c>
      <c r="G625" s="303">
        <f>G626</f>
        <v>1020.8</v>
      </c>
    </row>
    <row r="626" spans="1:7" ht="24">
      <c r="A626" s="299" t="s">
        <v>987</v>
      </c>
      <c r="B626" s="210" t="s">
        <v>477</v>
      </c>
      <c r="C626" s="296" t="s">
        <v>1145</v>
      </c>
      <c r="D626" s="296" t="s">
        <v>900</v>
      </c>
      <c r="E626" s="296" t="s">
        <v>1282</v>
      </c>
      <c r="F626" s="296" t="s">
        <v>988</v>
      </c>
      <c r="G626" s="302">
        <f>792+260.6-31.8</f>
        <v>1020.8</v>
      </c>
    </row>
    <row r="627" spans="1:7" ht="24">
      <c r="A627" s="299" t="s">
        <v>1283</v>
      </c>
      <c r="B627" s="210" t="s">
        <v>477</v>
      </c>
      <c r="C627" s="296" t="s">
        <v>1145</v>
      </c>
      <c r="D627" s="296" t="s">
        <v>900</v>
      </c>
      <c r="E627" s="296" t="s">
        <v>1284</v>
      </c>
      <c r="F627" s="296"/>
      <c r="G627" s="303">
        <f>G628</f>
        <v>200</v>
      </c>
    </row>
    <row r="628" spans="1:7" ht="24">
      <c r="A628" s="301" t="s">
        <v>985</v>
      </c>
      <c r="B628" s="210" t="s">
        <v>477</v>
      </c>
      <c r="C628" s="296" t="s">
        <v>1145</v>
      </c>
      <c r="D628" s="296" t="s">
        <v>900</v>
      </c>
      <c r="E628" s="296" t="s">
        <v>1284</v>
      </c>
      <c r="F628" s="296" t="s">
        <v>986</v>
      </c>
      <c r="G628" s="303">
        <f>G629</f>
        <v>200</v>
      </c>
    </row>
    <row r="629" spans="1:7" ht="24">
      <c r="A629" s="299" t="s">
        <v>987</v>
      </c>
      <c r="B629" s="210" t="s">
        <v>477</v>
      </c>
      <c r="C629" s="296" t="s">
        <v>1145</v>
      </c>
      <c r="D629" s="296" t="s">
        <v>900</v>
      </c>
      <c r="E629" s="296" t="s">
        <v>1284</v>
      </c>
      <c r="F629" s="296" t="s">
        <v>988</v>
      </c>
      <c r="G629" s="302">
        <v>200</v>
      </c>
    </row>
    <row r="630" spans="1:7" ht="36">
      <c r="A630" s="299" t="s">
        <v>1285</v>
      </c>
      <c r="B630" s="210" t="s">
        <v>477</v>
      </c>
      <c r="C630" s="296" t="s">
        <v>1145</v>
      </c>
      <c r="D630" s="296" t="s">
        <v>900</v>
      </c>
      <c r="E630" s="296" t="s">
        <v>1286</v>
      </c>
      <c r="F630" s="296"/>
      <c r="G630" s="303">
        <f>G631</f>
        <v>14226</v>
      </c>
    </row>
    <row r="631" spans="1:7" ht="24">
      <c r="A631" s="301" t="s">
        <v>985</v>
      </c>
      <c r="B631" s="210" t="s">
        <v>477</v>
      </c>
      <c r="C631" s="296" t="s">
        <v>1145</v>
      </c>
      <c r="D631" s="296" t="s">
        <v>900</v>
      </c>
      <c r="E631" s="296" t="s">
        <v>1286</v>
      </c>
      <c r="F631" s="296" t="s">
        <v>986</v>
      </c>
      <c r="G631" s="303">
        <f>G632</f>
        <v>14226</v>
      </c>
    </row>
    <row r="632" spans="1:7" ht="24">
      <c r="A632" s="299" t="s">
        <v>987</v>
      </c>
      <c r="B632" s="210" t="s">
        <v>477</v>
      </c>
      <c r="C632" s="296" t="s">
        <v>1145</v>
      </c>
      <c r="D632" s="296" t="s">
        <v>900</v>
      </c>
      <c r="E632" s="296" t="s">
        <v>1286</v>
      </c>
      <c r="F632" s="296" t="s">
        <v>988</v>
      </c>
      <c r="G632" s="302">
        <f>889+13337</f>
        <v>14226</v>
      </c>
    </row>
    <row r="633" spans="1:7" ht="36">
      <c r="A633" s="152" t="s">
        <v>1287</v>
      </c>
      <c r="B633" s="210" t="s">
        <v>477</v>
      </c>
      <c r="C633" s="147" t="s">
        <v>1145</v>
      </c>
      <c r="D633" s="147" t="s">
        <v>900</v>
      </c>
      <c r="E633" s="147" t="s">
        <v>379</v>
      </c>
      <c r="F633" s="147"/>
      <c r="G633" s="155">
        <f>G634</f>
        <v>4462.400000000001</v>
      </c>
    </row>
    <row r="634" spans="1:7" ht="24">
      <c r="A634" s="153" t="s">
        <v>840</v>
      </c>
      <c r="B634" s="210" t="s">
        <v>477</v>
      </c>
      <c r="C634" s="147" t="s">
        <v>1145</v>
      </c>
      <c r="D634" s="147" t="s">
        <v>900</v>
      </c>
      <c r="E634" s="147" t="s">
        <v>380</v>
      </c>
      <c r="F634" s="147"/>
      <c r="G634" s="155">
        <f>G635</f>
        <v>4462.400000000001</v>
      </c>
    </row>
    <row r="635" spans="1:7" ht="24">
      <c r="A635" s="153" t="s">
        <v>841</v>
      </c>
      <c r="B635" s="210" t="s">
        <v>477</v>
      </c>
      <c r="C635" s="147" t="s">
        <v>1145</v>
      </c>
      <c r="D635" s="147" t="s">
        <v>900</v>
      </c>
      <c r="E635" s="147" t="s">
        <v>381</v>
      </c>
      <c r="F635" s="147"/>
      <c r="G635" s="155">
        <f>G636+G638+G640</f>
        <v>4462.400000000001</v>
      </c>
    </row>
    <row r="636" spans="1:7" ht="48">
      <c r="A636" s="153" t="s">
        <v>1065</v>
      </c>
      <c r="B636" s="210" t="s">
        <v>477</v>
      </c>
      <c r="C636" s="147" t="s">
        <v>1145</v>
      </c>
      <c r="D636" s="147" t="s">
        <v>900</v>
      </c>
      <c r="E636" s="147" t="s">
        <v>381</v>
      </c>
      <c r="F636" s="147" t="s">
        <v>960</v>
      </c>
      <c r="G636" s="155">
        <f>G637</f>
        <v>3141</v>
      </c>
    </row>
    <row r="637" spans="1:7" ht="24">
      <c r="A637" s="152" t="s">
        <v>1165</v>
      </c>
      <c r="B637" s="210" t="s">
        <v>477</v>
      </c>
      <c r="C637" s="147" t="s">
        <v>1145</v>
      </c>
      <c r="D637" s="147" t="s">
        <v>900</v>
      </c>
      <c r="E637" s="147" t="s">
        <v>381</v>
      </c>
      <c r="F637" s="147" t="s">
        <v>1166</v>
      </c>
      <c r="G637" s="158">
        <f>3778.6-637.6</f>
        <v>3141</v>
      </c>
    </row>
    <row r="638" spans="1:7" ht="24">
      <c r="A638" s="153" t="s">
        <v>1066</v>
      </c>
      <c r="B638" s="210" t="s">
        <v>477</v>
      </c>
      <c r="C638" s="147" t="s">
        <v>1145</v>
      </c>
      <c r="D638" s="147" t="s">
        <v>900</v>
      </c>
      <c r="E638" s="147" t="s">
        <v>381</v>
      </c>
      <c r="F638" s="147" t="s">
        <v>529</v>
      </c>
      <c r="G638" s="155">
        <f>G639</f>
        <v>371.8</v>
      </c>
    </row>
    <row r="639" spans="1:7" ht="24">
      <c r="A639" s="153" t="s">
        <v>591</v>
      </c>
      <c r="B639" s="210" t="s">
        <v>477</v>
      </c>
      <c r="C639" s="147" t="s">
        <v>1145</v>
      </c>
      <c r="D639" s="147" t="s">
        <v>900</v>
      </c>
      <c r="E639" s="147" t="s">
        <v>381</v>
      </c>
      <c r="F639" s="147" t="s">
        <v>429</v>
      </c>
      <c r="G639" s="158">
        <f>375.3-3-0.5</f>
        <v>371.8</v>
      </c>
    </row>
    <row r="640" spans="1:7" ht="24">
      <c r="A640" s="153" t="s">
        <v>985</v>
      </c>
      <c r="B640" s="210" t="s">
        <v>477</v>
      </c>
      <c r="C640" s="147" t="s">
        <v>1145</v>
      </c>
      <c r="D640" s="147" t="s">
        <v>900</v>
      </c>
      <c r="E640" s="147" t="s">
        <v>381</v>
      </c>
      <c r="F640" s="147" t="s">
        <v>986</v>
      </c>
      <c r="G640" s="155">
        <f>G642+G641</f>
        <v>949.6</v>
      </c>
    </row>
    <row r="641" spans="1:7" ht="24">
      <c r="A641" s="153" t="s">
        <v>972</v>
      </c>
      <c r="B641" s="210" t="s">
        <v>477</v>
      </c>
      <c r="C641" s="147" t="s">
        <v>1145</v>
      </c>
      <c r="D641" s="147" t="s">
        <v>900</v>
      </c>
      <c r="E641" s="147" t="s">
        <v>381</v>
      </c>
      <c r="F641" s="147" t="s">
        <v>973</v>
      </c>
      <c r="G641" s="158">
        <f>32.5+533.5</f>
        <v>566</v>
      </c>
    </row>
    <row r="642" spans="1:7" ht="24">
      <c r="A642" s="153" t="s">
        <v>459</v>
      </c>
      <c r="B642" s="210" t="s">
        <v>477</v>
      </c>
      <c r="C642" s="147" t="s">
        <v>1145</v>
      </c>
      <c r="D642" s="147" t="s">
        <v>900</v>
      </c>
      <c r="E642" s="147" t="s">
        <v>381</v>
      </c>
      <c r="F642" s="147" t="s">
        <v>460</v>
      </c>
      <c r="G642" s="158">
        <f>416.1-32.5</f>
        <v>383.6</v>
      </c>
    </row>
    <row r="643" spans="1:7" ht="24">
      <c r="A643" s="152" t="s">
        <v>1288</v>
      </c>
      <c r="B643" s="210" t="s">
        <v>477</v>
      </c>
      <c r="C643" s="147" t="s">
        <v>1145</v>
      </c>
      <c r="D643" s="147" t="s">
        <v>900</v>
      </c>
      <c r="E643" s="147" t="s">
        <v>842</v>
      </c>
      <c r="F643" s="147"/>
      <c r="G643" s="155">
        <f>G644</f>
        <v>7702</v>
      </c>
    </row>
    <row r="644" spans="1:7" ht="24">
      <c r="A644" s="153" t="s">
        <v>840</v>
      </c>
      <c r="B644" s="210" t="s">
        <v>477</v>
      </c>
      <c r="C644" s="147" t="s">
        <v>1145</v>
      </c>
      <c r="D644" s="147" t="s">
        <v>900</v>
      </c>
      <c r="E644" s="147" t="s">
        <v>843</v>
      </c>
      <c r="F644" s="147"/>
      <c r="G644" s="155">
        <f>G645</f>
        <v>7702</v>
      </c>
    </row>
    <row r="645" spans="1:7" ht="24">
      <c r="A645" s="153" t="s">
        <v>841</v>
      </c>
      <c r="B645" s="210" t="s">
        <v>477</v>
      </c>
      <c r="C645" s="147" t="s">
        <v>1145</v>
      </c>
      <c r="D645" s="147" t="s">
        <v>900</v>
      </c>
      <c r="E645" s="147" t="s">
        <v>844</v>
      </c>
      <c r="F645" s="147"/>
      <c r="G645" s="158">
        <f>G646+G648+G650</f>
        <v>7702</v>
      </c>
    </row>
    <row r="646" spans="1:7" ht="48">
      <c r="A646" s="153" t="s">
        <v>1065</v>
      </c>
      <c r="B646" s="210" t="s">
        <v>477</v>
      </c>
      <c r="C646" s="147" t="s">
        <v>1145</v>
      </c>
      <c r="D646" s="147" t="s">
        <v>900</v>
      </c>
      <c r="E646" s="147" t="s">
        <v>844</v>
      </c>
      <c r="F646" s="147" t="s">
        <v>960</v>
      </c>
      <c r="G646" s="155">
        <f>G647</f>
        <v>6821</v>
      </c>
    </row>
    <row r="647" spans="1:7" ht="24">
      <c r="A647" s="152" t="s">
        <v>1165</v>
      </c>
      <c r="B647" s="210" t="s">
        <v>477</v>
      </c>
      <c r="C647" s="147" t="s">
        <v>1145</v>
      </c>
      <c r="D647" s="147" t="s">
        <v>900</v>
      </c>
      <c r="E647" s="147" t="s">
        <v>844</v>
      </c>
      <c r="F647" s="147" t="s">
        <v>1166</v>
      </c>
      <c r="G647" s="158">
        <v>6821</v>
      </c>
    </row>
    <row r="648" spans="1:7" ht="24">
      <c r="A648" s="153" t="s">
        <v>1066</v>
      </c>
      <c r="B648" s="210" t="s">
        <v>477</v>
      </c>
      <c r="C648" s="147" t="s">
        <v>1145</v>
      </c>
      <c r="D648" s="147" t="s">
        <v>900</v>
      </c>
      <c r="E648" s="147" t="s">
        <v>844</v>
      </c>
      <c r="F648" s="147" t="s">
        <v>529</v>
      </c>
      <c r="G648" s="155">
        <f>G649</f>
        <v>871</v>
      </c>
    </row>
    <row r="649" spans="1:7" ht="24">
      <c r="A649" s="153" t="s">
        <v>974</v>
      </c>
      <c r="B649" s="210" t="s">
        <v>477</v>
      </c>
      <c r="C649" s="147" t="s">
        <v>1145</v>
      </c>
      <c r="D649" s="147" t="s">
        <v>900</v>
      </c>
      <c r="E649" s="147" t="s">
        <v>844</v>
      </c>
      <c r="F649" s="147" t="s">
        <v>429</v>
      </c>
      <c r="G649" s="158">
        <v>871</v>
      </c>
    </row>
    <row r="650" spans="1:7" ht="24">
      <c r="A650" s="153" t="s">
        <v>985</v>
      </c>
      <c r="B650" s="210" t="s">
        <v>477</v>
      </c>
      <c r="C650" s="147" t="s">
        <v>1145</v>
      </c>
      <c r="D650" s="147" t="s">
        <v>900</v>
      </c>
      <c r="E650" s="147" t="s">
        <v>844</v>
      </c>
      <c r="F650" s="147" t="s">
        <v>986</v>
      </c>
      <c r="G650" s="155">
        <f>G651</f>
        <v>10</v>
      </c>
    </row>
    <row r="651" spans="1:7" ht="24">
      <c r="A651" s="153" t="s">
        <v>459</v>
      </c>
      <c r="B651" s="210" t="s">
        <v>477</v>
      </c>
      <c r="C651" s="147" t="s">
        <v>1145</v>
      </c>
      <c r="D651" s="147" t="s">
        <v>900</v>
      </c>
      <c r="E651" s="147" t="s">
        <v>844</v>
      </c>
      <c r="F651" s="147" t="s">
        <v>460</v>
      </c>
      <c r="G651" s="158">
        <f>10</f>
        <v>10</v>
      </c>
    </row>
    <row r="652" spans="1:7" ht="36">
      <c r="A652" s="152" t="s">
        <v>1289</v>
      </c>
      <c r="B652" s="210" t="s">
        <v>477</v>
      </c>
      <c r="C652" s="147" t="s">
        <v>1145</v>
      </c>
      <c r="D652" s="147" t="s">
        <v>900</v>
      </c>
      <c r="E652" s="147" t="s">
        <v>723</v>
      </c>
      <c r="F652" s="147"/>
      <c r="G652" s="271">
        <f>G653</f>
        <v>33800.5</v>
      </c>
    </row>
    <row r="653" spans="1:7" ht="24">
      <c r="A653" s="152" t="s">
        <v>726</v>
      </c>
      <c r="B653" s="210" t="s">
        <v>477</v>
      </c>
      <c r="C653" s="147" t="s">
        <v>1145</v>
      </c>
      <c r="D653" s="147" t="s">
        <v>900</v>
      </c>
      <c r="E653" s="147" t="s">
        <v>724</v>
      </c>
      <c r="F653" s="147"/>
      <c r="G653" s="155">
        <f>G654</f>
        <v>33800.5</v>
      </c>
    </row>
    <row r="654" spans="1:7" ht="24">
      <c r="A654" s="157" t="s">
        <v>191</v>
      </c>
      <c r="B654" s="210" t="s">
        <v>477</v>
      </c>
      <c r="C654" s="147" t="s">
        <v>1145</v>
      </c>
      <c r="D654" s="147" t="s">
        <v>900</v>
      </c>
      <c r="E654" s="147" t="s">
        <v>725</v>
      </c>
      <c r="F654" s="147"/>
      <c r="G654" s="155">
        <f>G655+G657+G659</f>
        <v>33800.5</v>
      </c>
    </row>
    <row r="655" spans="1:7" ht="48">
      <c r="A655" s="153" t="s">
        <v>1065</v>
      </c>
      <c r="B655" s="210" t="s">
        <v>477</v>
      </c>
      <c r="C655" s="147" t="s">
        <v>1145</v>
      </c>
      <c r="D655" s="147" t="s">
        <v>900</v>
      </c>
      <c r="E655" s="147" t="s">
        <v>725</v>
      </c>
      <c r="F655" s="147" t="s">
        <v>960</v>
      </c>
      <c r="G655" s="155">
        <f>G656</f>
        <v>26714.6</v>
      </c>
    </row>
    <row r="656" spans="1:7" ht="24">
      <c r="A656" s="153" t="s">
        <v>515</v>
      </c>
      <c r="B656" s="210" t="s">
        <v>477</v>
      </c>
      <c r="C656" s="147" t="s">
        <v>1145</v>
      </c>
      <c r="D656" s="147" t="s">
        <v>900</v>
      </c>
      <c r="E656" s="147" t="s">
        <v>725</v>
      </c>
      <c r="F656" s="147" t="s">
        <v>115</v>
      </c>
      <c r="G656" s="158">
        <f>26707.6+7</f>
        <v>26714.6</v>
      </c>
    </row>
    <row r="657" spans="1:7" ht="24">
      <c r="A657" s="153" t="s">
        <v>1066</v>
      </c>
      <c r="B657" s="210" t="s">
        <v>477</v>
      </c>
      <c r="C657" s="147" t="s">
        <v>1145</v>
      </c>
      <c r="D657" s="147" t="s">
        <v>900</v>
      </c>
      <c r="E657" s="147" t="s">
        <v>725</v>
      </c>
      <c r="F657" s="147" t="s">
        <v>529</v>
      </c>
      <c r="G657" s="155">
        <f>G658</f>
        <v>3984.7</v>
      </c>
    </row>
    <row r="658" spans="1:7" ht="24">
      <c r="A658" s="153" t="s">
        <v>974</v>
      </c>
      <c r="B658" s="210" t="s">
        <v>477</v>
      </c>
      <c r="C658" s="147" t="s">
        <v>1145</v>
      </c>
      <c r="D658" s="147" t="s">
        <v>900</v>
      </c>
      <c r="E658" s="147" t="s">
        <v>725</v>
      </c>
      <c r="F658" s="147" t="s">
        <v>429</v>
      </c>
      <c r="G658" s="158">
        <f>4300.2-7-250+250-200-108.5</f>
        <v>3984.7</v>
      </c>
    </row>
    <row r="659" spans="1:7" ht="24">
      <c r="A659" s="153" t="s">
        <v>985</v>
      </c>
      <c r="B659" s="210" t="s">
        <v>477</v>
      </c>
      <c r="C659" s="147" t="s">
        <v>1145</v>
      </c>
      <c r="D659" s="147" t="s">
        <v>900</v>
      </c>
      <c r="E659" s="147" t="s">
        <v>725</v>
      </c>
      <c r="F659" s="147" t="s">
        <v>986</v>
      </c>
      <c r="G659" s="155">
        <f>G660</f>
        <v>3101.2</v>
      </c>
    </row>
    <row r="660" spans="1:7" ht="24">
      <c r="A660" s="153" t="s">
        <v>459</v>
      </c>
      <c r="B660" s="210" t="s">
        <v>477</v>
      </c>
      <c r="C660" s="147" t="s">
        <v>1145</v>
      </c>
      <c r="D660" s="147" t="s">
        <v>900</v>
      </c>
      <c r="E660" s="147" t="s">
        <v>725</v>
      </c>
      <c r="F660" s="147" t="s">
        <v>460</v>
      </c>
      <c r="G660" s="158">
        <f>3101.2</f>
        <v>3101.2</v>
      </c>
    </row>
    <row r="661" spans="1:7" ht="72">
      <c r="A661" s="152" t="s">
        <v>1290</v>
      </c>
      <c r="B661" s="210" t="s">
        <v>477</v>
      </c>
      <c r="C661" s="147" t="s">
        <v>1145</v>
      </c>
      <c r="D661" s="147" t="s">
        <v>900</v>
      </c>
      <c r="E661" s="147" t="s">
        <v>728</v>
      </c>
      <c r="F661" s="147"/>
      <c r="G661" s="155">
        <f>G664+G666+G673+G677+G685</f>
        <v>288574.3</v>
      </c>
    </row>
    <row r="662" spans="1:7" ht="24">
      <c r="A662" s="152" t="s">
        <v>727</v>
      </c>
      <c r="B662" s="210" t="s">
        <v>477</v>
      </c>
      <c r="C662" s="147" t="s">
        <v>1145</v>
      </c>
      <c r="D662" s="147" t="s">
        <v>900</v>
      </c>
      <c r="E662" s="147" t="s">
        <v>789</v>
      </c>
      <c r="F662" s="147"/>
      <c r="G662" s="155">
        <f>G663</f>
        <v>149.7</v>
      </c>
    </row>
    <row r="663" spans="1:7" ht="24">
      <c r="A663" s="152" t="s">
        <v>45</v>
      </c>
      <c r="B663" s="210" t="s">
        <v>477</v>
      </c>
      <c r="C663" s="147" t="s">
        <v>1145</v>
      </c>
      <c r="D663" s="147" t="s">
        <v>900</v>
      </c>
      <c r="E663" s="147" t="s">
        <v>1100</v>
      </c>
      <c r="F663" s="147"/>
      <c r="G663" s="155">
        <f>G664</f>
        <v>149.7</v>
      </c>
    </row>
    <row r="664" spans="1:7" ht="24">
      <c r="A664" s="153" t="s">
        <v>1066</v>
      </c>
      <c r="B664" s="210" t="s">
        <v>477</v>
      </c>
      <c r="C664" s="147" t="s">
        <v>1145</v>
      </c>
      <c r="D664" s="147" t="s">
        <v>900</v>
      </c>
      <c r="E664" s="147" t="s">
        <v>1100</v>
      </c>
      <c r="F664" s="147" t="s">
        <v>529</v>
      </c>
      <c r="G664" s="155">
        <f>G665</f>
        <v>149.7</v>
      </c>
    </row>
    <row r="665" spans="1:7" ht="24">
      <c r="A665" s="153" t="s">
        <v>974</v>
      </c>
      <c r="B665" s="210" t="s">
        <v>477</v>
      </c>
      <c r="C665" s="147" t="s">
        <v>1145</v>
      </c>
      <c r="D665" s="147" t="s">
        <v>900</v>
      </c>
      <c r="E665" s="147" t="s">
        <v>1100</v>
      </c>
      <c r="F665" s="147" t="s">
        <v>429</v>
      </c>
      <c r="G665" s="161">
        <f>425-275.3</f>
        <v>149.7</v>
      </c>
    </row>
    <row r="666" spans="1:7" ht="28.5" customHeight="1">
      <c r="A666" s="153" t="s">
        <v>732</v>
      </c>
      <c r="B666" s="210" t="s">
        <v>477</v>
      </c>
      <c r="C666" s="147" t="s">
        <v>1145</v>
      </c>
      <c r="D666" s="147" t="s">
        <v>900</v>
      </c>
      <c r="E666" s="147" t="s">
        <v>729</v>
      </c>
      <c r="F666" s="147"/>
      <c r="G666" s="155">
        <f>G667</f>
        <v>260930.9</v>
      </c>
    </row>
    <row r="667" spans="1:7" ht="24">
      <c r="A667" s="153" t="s">
        <v>665</v>
      </c>
      <c r="B667" s="210" t="s">
        <v>477</v>
      </c>
      <c r="C667" s="147" t="s">
        <v>1145</v>
      </c>
      <c r="D667" s="147" t="s">
        <v>900</v>
      </c>
      <c r="E667" s="147" t="s">
        <v>790</v>
      </c>
      <c r="F667" s="147"/>
      <c r="G667" s="155">
        <f>G668+G671</f>
        <v>260930.9</v>
      </c>
    </row>
    <row r="668" spans="1:7" ht="24">
      <c r="A668" s="153" t="s">
        <v>1066</v>
      </c>
      <c r="B668" s="210" t="s">
        <v>477</v>
      </c>
      <c r="C668" s="147" t="s">
        <v>1145</v>
      </c>
      <c r="D668" s="147" t="s">
        <v>900</v>
      </c>
      <c r="E668" s="147" t="s">
        <v>790</v>
      </c>
      <c r="F668" s="147" t="s">
        <v>529</v>
      </c>
      <c r="G668" s="155">
        <f>G669+G670</f>
        <v>260830.9</v>
      </c>
    </row>
    <row r="669" spans="1:7" ht="24">
      <c r="A669" s="153" t="s">
        <v>974</v>
      </c>
      <c r="B669" s="210" t="s">
        <v>477</v>
      </c>
      <c r="C669" s="147" t="s">
        <v>1145</v>
      </c>
      <c r="D669" s="147" t="s">
        <v>900</v>
      </c>
      <c r="E669" s="147" t="s">
        <v>790</v>
      </c>
      <c r="F669" s="147" t="s">
        <v>429</v>
      </c>
      <c r="G669" s="158">
        <f>14606.9+210+5295.4-250+1720.3+1118.7+840+480.5+2102+982.5-639+6975+433.3+948+1250-2750-100</f>
        <v>33223.600000000006</v>
      </c>
    </row>
    <row r="670" spans="1:7" ht="24">
      <c r="A670" s="153" t="s">
        <v>730</v>
      </c>
      <c r="B670" s="210" t="s">
        <v>477</v>
      </c>
      <c r="C670" s="147" t="s">
        <v>1145</v>
      </c>
      <c r="D670" s="147" t="s">
        <v>900</v>
      </c>
      <c r="E670" s="147" t="s">
        <v>790</v>
      </c>
      <c r="F670" s="147" t="s">
        <v>429</v>
      </c>
      <c r="G670" s="158">
        <f>62000+6400+5000+8000+4400+30000+38014+12215.3+57000+4578</f>
        <v>227607.3</v>
      </c>
    </row>
    <row r="671" spans="1:7" ht="24">
      <c r="A671" s="153" t="s">
        <v>985</v>
      </c>
      <c r="B671" s="210" t="s">
        <v>477</v>
      </c>
      <c r="C671" s="147" t="s">
        <v>1145</v>
      </c>
      <c r="D671" s="147" t="s">
        <v>900</v>
      </c>
      <c r="E671" s="147" t="s">
        <v>790</v>
      </c>
      <c r="F671" s="147" t="s">
        <v>986</v>
      </c>
      <c r="G671" s="155">
        <f>G672</f>
        <v>100</v>
      </c>
    </row>
    <row r="672" spans="1:7" ht="24">
      <c r="A672" s="153" t="s">
        <v>459</v>
      </c>
      <c r="B672" s="210" t="s">
        <v>477</v>
      </c>
      <c r="C672" s="147" t="s">
        <v>1145</v>
      </c>
      <c r="D672" s="147" t="s">
        <v>900</v>
      </c>
      <c r="E672" s="147" t="s">
        <v>790</v>
      </c>
      <c r="F672" s="147" t="s">
        <v>460</v>
      </c>
      <c r="G672" s="158">
        <f>100</f>
        <v>100</v>
      </c>
    </row>
    <row r="673" spans="1:7" ht="24">
      <c r="A673" s="153" t="s">
        <v>731</v>
      </c>
      <c r="B673" s="210" t="s">
        <v>477</v>
      </c>
      <c r="C673" s="147" t="s">
        <v>1145</v>
      </c>
      <c r="D673" s="147" t="s">
        <v>900</v>
      </c>
      <c r="E673" s="147" t="s">
        <v>1179</v>
      </c>
      <c r="F673" s="147"/>
      <c r="G673" s="155">
        <f>G674</f>
        <v>3507.7</v>
      </c>
    </row>
    <row r="674" spans="1:7" ht="36">
      <c r="A674" s="152" t="s">
        <v>624</v>
      </c>
      <c r="B674" s="210" t="s">
        <v>477</v>
      </c>
      <c r="C674" s="147" t="s">
        <v>1145</v>
      </c>
      <c r="D674" s="147" t="s">
        <v>900</v>
      </c>
      <c r="E674" s="147" t="s">
        <v>1101</v>
      </c>
      <c r="F674" s="147"/>
      <c r="G674" s="155">
        <f>G675</f>
        <v>3507.7</v>
      </c>
    </row>
    <row r="675" spans="1:7" ht="24">
      <c r="A675" s="153" t="s">
        <v>974</v>
      </c>
      <c r="B675" s="210" t="s">
        <v>477</v>
      </c>
      <c r="C675" s="147" t="s">
        <v>1145</v>
      </c>
      <c r="D675" s="147" t="s">
        <v>900</v>
      </c>
      <c r="E675" s="147" t="s">
        <v>1101</v>
      </c>
      <c r="F675" s="147" t="s">
        <v>529</v>
      </c>
      <c r="G675" s="155">
        <f>G676</f>
        <v>3507.7</v>
      </c>
    </row>
    <row r="676" spans="1:7" ht="24">
      <c r="A676" s="153" t="s">
        <v>1066</v>
      </c>
      <c r="B676" s="210" t="s">
        <v>477</v>
      </c>
      <c r="C676" s="147" t="s">
        <v>1145</v>
      </c>
      <c r="D676" s="147" t="s">
        <v>900</v>
      </c>
      <c r="E676" s="147" t="s">
        <v>1101</v>
      </c>
      <c r="F676" s="147" t="s">
        <v>429</v>
      </c>
      <c r="G676" s="158">
        <f>5542.2+250-369.5-1915</f>
        <v>3507.7</v>
      </c>
    </row>
    <row r="677" spans="1:7" ht="24">
      <c r="A677" s="153" t="s">
        <v>840</v>
      </c>
      <c r="B677" s="210" t="s">
        <v>477</v>
      </c>
      <c r="C677" s="147" t="s">
        <v>1145</v>
      </c>
      <c r="D677" s="147" t="s">
        <v>900</v>
      </c>
      <c r="E677" s="147" t="s">
        <v>1200</v>
      </c>
      <c r="F677" s="147"/>
      <c r="G677" s="155">
        <f>G678</f>
        <v>13500</v>
      </c>
    </row>
    <row r="678" spans="1:7" ht="24">
      <c r="A678" s="153" t="s">
        <v>841</v>
      </c>
      <c r="B678" s="210" t="s">
        <v>477</v>
      </c>
      <c r="C678" s="147" t="s">
        <v>1145</v>
      </c>
      <c r="D678" s="147" t="s">
        <v>900</v>
      </c>
      <c r="E678" s="147" t="s">
        <v>1444</v>
      </c>
      <c r="F678" s="147"/>
      <c r="G678" s="155">
        <f>G679+G681+G683</f>
        <v>13500</v>
      </c>
    </row>
    <row r="679" spans="1:7" ht="25.5" customHeight="1">
      <c r="A679" s="153" t="s">
        <v>1065</v>
      </c>
      <c r="B679" s="210" t="s">
        <v>477</v>
      </c>
      <c r="C679" s="147" t="s">
        <v>1145</v>
      </c>
      <c r="D679" s="147" t="s">
        <v>900</v>
      </c>
      <c r="E679" s="147" t="s">
        <v>1444</v>
      </c>
      <c r="F679" s="147" t="s">
        <v>960</v>
      </c>
      <c r="G679" s="155">
        <f>G680</f>
        <v>12922.9</v>
      </c>
    </row>
    <row r="680" spans="1:7" ht="19.5" customHeight="1">
      <c r="A680" s="152" t="s">
        <v>1165</v>
      </c>
      <c r="B680" s="210" t="s">
        <v>477</v>
      </c>
      <c r="C680" s="147" t="s">
        <v>1145</v>
      </c>
      <c r="D680" s="147" t="s">
        <v>900</v>
      </c>
      <c r="E680" s="147" t="s">
        <v>1444</v>
      </c>
      <c r="F680" s="147" t="s">
        <v>1166</v>
      </c>
      <c r="G680" s="280">
        <f>9925.4+2997.5</f>
        <v>12922.9</v>
      </c>
    </row>
    <row r="681" spans="1:7" ht="24">
      <c r="A681" s="153" t="s">
        <v>974</v>
      </c>
      <c r="B681" s="210" t="s">
        <v>477</v>
      </c>
      <c r="C681" s="147" t="s">
        <v>1145</v>
      </c>
      <c r="D681" s="147" t="s">
        <v>900</v>
      </c>
      <c r="E681" s="147" t="s">
        <v>1444</v>
      </c>
      <c r="F681" s="147" t="s">
        <v>529</v>
      </c>
      <c r="G681" s="279">
        <f>G682</f>
        <v>561</v>
      </c>
    </row>
    <row r="682" spans="1:7" ht="25.5" customHeight="1">
      <c r="A682" s="153" t="s">
        <v>1066</v>
      </c>
      <c r="B682" s="210" t="s">
        <v>477</v>
      </c>
      <c r="C682" s="147" t="s">
        <v>1145</v>
      </c>
      <c r="D682" s="147" t="s">
        <v>900</v>
      </c>
      <c r="E682" s="147" t="s">
        <v>1444</v>
      </c>
      <c r="F682" s="147" t="s">
        <v>429</v>
      </c>
      <c r="G682" s="158">
        <f>577.1-16.1+2000-2000</f>
        <v>561</v>
      </c>
    </row>
    <row r="683" spans="1:7" ht="24">
      <c r="A683" s="153" t="s">
        <v>985</v>
      </c>
      <c r="B683" s="210" t="s">
        <v>477</v>
      </c>
      <c r="C683" s="147" t="s">
        <v>1145</v>
      </c>
      <c r="D683" s="147" t="s">
        <v>900</v>
      </c>
      <c r="E683" s="147" t="s">
        <v>1444</v>
      </c>
      <c r="F683" s="147" t="s">
        <v>986</v>
      </c>
      <c r="G683" s="279">
        <f>G684</f>
        <v>16.1</v>
      </c>
    </row>
    <row r="684" spans="1:7" ht="24">
      <c r="A684" s="153" t="s">
        <v>459</v>
      </c>
      <c r="B684" s="210" t="s">
        <v>477</v>
      </c>
      <c r="C684" s="147" t="s">
        <v>1145</v>
      </c>
      <c r="D684" s="147" t="s">
        <v>900</v>
      </c>
      <c r="E684" s="147" t="s">
        <v>1444</v>
      </c>
      <c r="F684" s="147" t="s">
        <v>460</v>
      </c>
      <c r="G684" s="158">
        <f>16.1</f>
        <v>16.1</v>
      </c>
    </row>
    <row r="685" spans="1:7" ht="36">
      <c r="A685" s="329" t="s">
        <v>1778</v>
      </c>
      <c r="B685" s="210" t="s">
        <v>477</v>
      </c>
      <c r="C685" s="147" t="s">
        <v>1145</v>
      </c>
      <c r="D685" s="147" t="s">
        <v>900</v>
      </c>
      <c r="E685" s="147" t="s">
        <v>1779</v>
      </c>
      <c r="F685" s="147"/>
      <c r="G685" s="325">
        <f>G686</f>
        <v>10486</v>
      </c>
    </row>
    <row r="686" spans="1:7" ht="24">
      <c r="A686" s="326" t="s">
        <v>1541</v>
      </c>
      <c r="B686" s="210" t="s">
        <v>477</v>
      </c>
      <c r="C686" s="147" t="s">
        <v>1145</v>
      </c>
      <c r="D686" s="147" t="s">
        <v>900</v>
      </c>
      <c r="E686" s="147" t="s">
        <v>1777</v>
      </c>
      <c r="F686" s="147"/>
      <c r="G686" s="155">
        <f>G687</f>
        <v>10486</v>
      </c>
    </row>
    <row r="687" spans="1:7" ht="48">
      <c r="A687" s="153" t="s">
        <v>1065</v>
      </c>
      <c r="B687" s="210" t="s">
        <v>477</v>
      </c>
      <c r="C687" s="147" t="s">
        <v>1145</v>
      </c>
      <c r="D687" s="147" t="s">
        <v>900</v>
      </c>
      <c r="E687" s="147" t="s">
        <v>1777</v>
      </c>
      <c r="F687" s="147" t="s">
        <v>960</v>
      </c>
      <c r="G687" s="155">
        <f>G688</f>
        <v>10486</v>
      </c>
    </row>
    <row r="688" spans="1:7" ht="24">
      <c r="A688" s="153" t="s">
        <v>515</v>
      </c>
      <c r="B688" s="210" t="s">
        <v>477</v>
      </c>
      <c r="C688" s="147" t="s">
        <v>1145</v>
      </c>
      <c r="D688" s="147" t="s">
        <v>900</v>
      </c>
      <c r="E688" s="147" t="s">
        <v>1777</v>
      </c>
      <c r="F688" s="147" t="s">
        <v>115</v>
      </c>
      <c r="G688" s="158">
        <f>10486</f>
        <v>10486</v>
      </c>
    </row>
    <row r="689" spans="1:7" ht="48">
      <c r="A689" s="152" t="s">
        <v>1336</v>
      </c>
      <c r="B689" s="210" t="s">
        <v>477</v>
      </c>
      <c r="C689" s="147" t="s">
        <v>1145</v>
      </c>
      <c r="D689" s="147" t="s">
        <v>900</v>
      </c>
      <c r="E689" s="147" t="s">
        <v>582</v>
      </c>
      <c r="F689" s="147"/>
      <c r="G689" s="155">
        <f>G690</f>
        <v>24953.1</v>
      </c>
    </row>
    <row r="690" spans="1:7" ht="24">
      <c r="A690" s="153" t="s">
        <v>840</v>
      </c>
      <c r="B690" s="210" t="s">
        <v>477</v>
      </c>
      <c r="C690" s="147" t="s">
        <v>1145</v>
      </c>
      <c r="D690" s="147" t="s">
        <v>900</v>
      </c>
      <c r="E690" s="147" t="s">
        <v>583</v>
      </c>
      <c r="F690" s="147"/>
      <c r="G690" s="155">
        <f>G691</f>
        <v>24953.1</v>
      </c>
    </row>
    <row r="691" spans="1:7" ht="24">
      <c r="A691" s="153" t="s">
        <v>841</v>
      </c>
      <c r="B691" s="210" t="s">
        <v>477</v>
      </c>
      <c r="C691" s="147" t="s">
        <v>1145</v>
      </c>
      <c r="D691" s="147" t="s">
        <v>900</v>
      </c>
      <c r="E691" s="147" t="s">
        <v>584</v>
      </c>
      <c r="F691" s="147"/>
      <c r="G691" s="155">
        <f>G692+G694+G696</f>
        <v>24953.1</v>
      </c>
    </row>
    <row r="692" spans="1:7" ht="48">
      <c r="A692" s="153" t="s">
        <v>1065</v>
      </c>
      <c r="B692" s="210" t="s">
        <v>477</v>
      </c>
      <c r="C692" s="147" t="s">
        <v>1145</v>
      </c>
      <c r="D692" s="147" t="s">
        <v>900</v>
      </c>
      <c r="E692" s="147" t="s">
        <v>584</v>
      </c>
      <c r="F692" s="147" t="s">
        <v>960</v>
      </c>
      <c r="G692" s="155">
        <f>G693</f>
        <v>17948</v>
      </c>
    </row>
    <row r="693" spans="1:7" ht="24">
      <c r="A693" s="152" t="s">
        <v>1165</v>
      </c>
      <c r="B693" s="210" t="s">
        <v>477</v>
      </c>
      <c r="C693" s="147" t="s">
        <v>1145</v>
      </c>
      <c r="D693" s="147" t="s">
        <v>900</v>
      </c>
      <c r="E693" s="147" t="s">
        <v>584</v>
      </c>
      <c r="F693" s="147" t="s">
        <v>1166</v>
      </c>
      <c r="G693" s="158">
        <f>21743.4-2915.4-880</f>
        <v>17948</v>
      </c>
    </row>
    <row r="694" spans="1:7" ht="24">
      <c r="A694" s="153" t="s">
        <v>974</v>
      </c>
      <c r="B694" s="210" t="s">
        <v>477</v>
      </c>
      <c r="C694" s="147" t="s">
        <v>1145</v>
      </c>
      <c r="D694" s="147" t="s">
        <v>900</v>
      </c>
      <c r="E694" s="147" t="s">
        <v>584</v>
      </c>
      <c r="F694" s="147" t="s">
        <v>529</v>
      </c>
      <c r="G694" s="155">
        <f>G695</f>
        <v>6995.1</v>
      </c>
    </row>
    <row r="695" spans="1:7" ht="24">
      <c r="A695" s="153" t="s">
        <v>1066</v>
      </c>
      <c r="B695" s="210" t="s">
        <v>477</v>
      </c>
      <c r="C695" s="147" t="s">
        <v>1145</v>
      </c>
      <c r="D695" s="147" t="s">
        <v>900</v>
      </c>
      <c r="E695" s="147" t="s">
        <v>584</v>
      </c>
      <c r="F695" s="147" t="s">
        <v>429</v>
      </c>
      <c r="G695" s="158">
        <f>1656.6+2948.5-10+400+2000</f>
        <v>6995.1</v>
      </c>
    </row>
    <row r="696" spans="1:7" ht="24">
      <c r="A696" s="153" t="s">
        <v>985</v>
      </c>
      <c r="B696" s="210" t="s">
        <v>477</v>
      </c>
      <c r="C696" s="147" t="s">
        <v>1145</v>
      </c>
      <c r="D696" s="147" t="s">
        <v>900</v>
      </c>
      <c r="E696" s="147" t="s">
        <v>584</v>
      </c>
      <c r="F696" s="147" t="s">
        <v>986</v>
      </c>
      <c r="G696" s="279">
        <f>G697</f>
        <v>10</v>
      </c>
    </row>
    <row r="697" spans="1:7" ht="24">
      <c r="A697" s="153" t="s">
        <v>459</v>
      </c>
      <c r="B697" s="210" t="s">
        <v>477</v>
      </c>
      <c r="C697" s="147" t="s">
        <v>1145</v>
      </c>
      <c r="D697" s="147" t="s">
        <v>900</v>
      </c>
      <c r="E697" s="147" t="s">
        <v>584</v>
      </c>
      <c r="F697" s="147" t="s">
        <v>460</v>
      </c>
      <c r="G697" s="158">
        <v>10</v>
      </c>
    </row>
    <row r="698" spans="1:7" ht="24">
      <c r="A698" s="153" t="s">
        <v>1337</v>
      </c>
      <c r="B698" s="210" t="s">
        <v>477</v>
      </c>
      <c r="C698" s="147" t="s">
        <v>1145</v>
      </c>
      <c r="D698" s="147" t="s">
        <v>900</v>
      </c>
      <c r="E698" s="147" t="s">
        <v>826</v>
      </c>
      <c r="F698" s="147"/>
      <c r="G698" s="155">
        <f>G699</f>
        <v>6996.2</v>
      </c>
    </row>
    <row r="699" spans="1:7" ht="24">
      <c r="A699" s="153" t="s">
        <v>840</v>
      </c>
      <c r="B699" s="210" t="s">
        <v>477</v>
      </c>
      <c r="C699" s="147" t="s">
        <v>1145</v>
      </c>
      <c r="D699" s="147" t="s">
        <v>900</v>
      </c>
      <c r="E699" s="147" t="s">
        <v>827</v>
      </c>
      <c r="F699" s="147"/>
      <c r="G699" s="155">
        <f>G700</f>
        <v>6996.2</v>
      </c>
    </row>
    <row r="700" spans="1:7" ht="24">
      <c r="A700" s="153" t="s">
        <v>841</v>
      </c>
      <c r="B700" s="210" t="s">
        <v>477</v>
      </c>
      <c r="C700" s="147" t="s">
        <v>1145</v>
      </c>
      <c r="D700" s="147" t="s">
        <v>900</v>
      </c>
      <c r="E700" s="147" t="s">
        <v>828</v>
      </c>
      <c r="F700" s="147"/>
      <c r="G700" s="155">
        <f>G701+G703+G705</f>
        <v>6996.2</v>
      </c>
    </row>
    <row r="701" spans="1:7" ht="48">
      <c r="A701" s="153" t="s">
        <v>1065</v>
      </c>
      <c r="B701" s="210" t="s">
        <v>477</v>
      </c>
      <c r="C701" s="147" t="s">
        <v>1145</v>
      </c>
      <c r="D701" s="147" t="s">
        <v>900</v>
      </c>
      <c r="E701" s="147" t="s">
        <v>828</v>
      </c>
      <c r="F701" s="147" t="s">
        <v>960</v>
      </c>
      <c r="G701" s="155">
        <f>G702</f>
        <v>6282.2</v>
      </c>
    </row>
    <row r="702" spans="1:7" ht="24">
      <c r="A702" s="152" t="s">
        <v>1165</v>
      </c>
      <c r="B702" s="210" t="s">
        <v>477</v>
      </c>
      <c r="C702" s="147" t="s">
        <v>1145</v>
      </c>
      <c r="D702" s="147" t="s">
        <v>900</v>
      </c>
      <c r="E702" s="147" t="s">
        <v>828</v>
      </c>
      <c r="F702" s="147" t="s">
        <v>1166</v>
      </c>
      <c r="G702" s="158">
        <f>6087+195.2</f>
        <v>6282.2</v>
      </c>
    </row>
    <row r="703" spans="1:7" ht="24">
      <c r="A703" s="153" t="s">
        <v>974</v>
      </c>
      <c r="B703" s="210" t="s">
        <v>477</v>
      </c>
      <c r="C703" s="147" t="s">
        <v>1145</v>
      </c>
      <c r="D703" s="147" t="s">
        <v>900</v>
      </c>
      <c r="E703" s="147" t="s">
        <v>828</v>
      </c>
      <c r="F703" s="147" t="s">
        <v>529</v>
      </c>
      <c r="G703" s="155">
        <f>G704</f>
        <v>638</v>
      </c>
    </row>
    <row r="704" spans="1:7" ht="24">
      <c r="A704" s="153" t="s">
        <v>1066</v>
      </c>
      <c r="B704" s="210" t="s">
        <v>477</v>
      </c>
      <c r="C704" s="147" t="s">
        <v>1145</v>
      </c>
      <c r="D704" s="147" t="s">
        <v>900</v>
      </c>
      <c r="E704" s="147" t="s">
        <v>828</v>
      </c>
      <c r="F704" s="147" t="s">
        <v>429</v>
      </c>
      <c r="G704" s="158">
        <f>612.8-5.3+30.5</f>
        <v>638</v>
      </c>
    </row>
    <row r="705" spans="1:7" ht="24">
      <c r="A705" s="153" t="s">
        <v>985</v>
      </c>
      <c r="B705" s="210" t="s">
        <v>477</v>
      </c>
      <c r="C705" s="147" t="s">
        <v>1145</v>
      </c>
      <c r="D705" s="147" t="s">
        <v>900</v>
      </c>
      <c r="E705" s="147" t="s">
        <v>828</v>
      </c>
      <c r="F705" s="147" t="s">
        <v>986</v>
      </c>
      <c r="G705" s="279">
        <f>G706</f>
        <v>76</v>
      </c>
    </row>
    <row r="706" spans="1:7" ht="24">
      <c r="A706" s="153" t="s">
        <v>459</v>
      </c>
      <c r="B706" s="210" t="s">
        <v>477</v>
      </c>
      <c r="C706" s="147" t="s">
        <v>1145</v>
      </c>
      <c r="D706" s="147" t="s">
        <v>900</v>
      </c>
      <c r="E706" s="147" t="s">
        <v>828</v>
      </c>
      <c r="F706" s="147" t="s">
        <v>460</v>
      </c>
      <c r="G706" s="158">
        <f>76</f>
        <v>76</v>
      </c>
    </row>
    <row r="707" spans="1:7" ht="24">
      <c r="A707" s="153" t="s">
        <v>1414</v>
      </c>
      <c r="B707" s="210" t="s">
        <v>477</v>
      </c>
      <c r="C707" s="147" t="s">
        <v>1145</v>
      </c>
      <c r="D707" s="147" t="s">
        <v>900</v>
      </c>
      <c r="E707" s="147" t="s">
        <v>1343</v>
      </c>
      <c r="F707" s="147"/>
      <c r="G707" s="155">
        <f>G708</f>
        <v>92002.2</v>
      </c>
    </row>
    <row r="708" spans="1:7" ht="24">
      <c r="A708" s="153" t="s">
        <v>840</v>
      </c>
      <c r="B708" s="210" t="s">
        <v>477</v>
      </c>
      <c r="C708" s="147" t="s">
        <v>1145</v>
      </c>
      <c r="D708" s="147" t="s">
        <v>900</v>
      </c>
      <c r="E708" s="147" t="s">
        <v>1344</v>
      </c>
      <c r="F708" s="147"/>
      <c r="G708" s="155">
        <f>G709</f>
        <v>92002.2</v>
      </c>
    </row>
    <row r="709" spans="1:7" ht="24">
      <c r="A709" s="153" t="s">
        <v>841</v>
      </c>
      <c r="B709" s="210" t="s">
        <v>477</v>
      </c>
      <c r="C709" s="147" t="s">
        <v>1145</v>
      </c>
      <c r="D709" s="147" t="s">
        <v>900</v>
      </c>
      <c r="E709" s="147" t="s">
        <v>1345</v>
      </c>
      <c r="F709" s="147"/>
      <c r="G709" s="155">
        <f>G710+G712+G714</f>
        <v>92002.2</v>
      </c>
    </row>
    <row r="710" spans="1:7" ht="48">
      <c r="A710" s="153" t="s">
        <v>1065</v>
      </c>
      <c r="B710" s="210" t="s">
        <v>477</v>
      </c>
      <c r="C710" s="147" t="s">
        <v>1145</v>
      </c>
      <c r="D710" s="147" t="s">
        <v>900</v>
      </c>
      <c r="E710" s="147" t="s">
        <v>1345</v>
      </c>
      <c r="F710" s="147" t="s">
        <v>960</v>
      </c>
      <c r="G710" s="155">
        <f>G711</f>
        <v>72888.4</v>
      </c>
    </row>
    <row r="711" spans="1:7" ht="24">
      <c r="A711" s="152" t="s">
        <v>1165</v>
      </c>
      <c r="B711" s="210" t="s">
        <v>477</v>
      </c>
      <c r="C711" s="147" t="s">
        <v>1145</v>
      </c>
      <c r="D711" s="147" t="s">
        <v>900</v>
      </c>
      <c r="E711" s="147" t="s">
        <v>1345</v>
      </c>
      <c r="F711" s="147" t="s">
        <v>1166</v>
      </c>
      <c r="G711" s="158">
        <f>53434.7+10845.4+3275.3+3200+180+692+211+500+150+310+90</f>
        <v>72888.4</v>
      </c>
    </row>
    <row r="712" spans="1:7" ht="24">
      <c r="A712" s="153" t="s">
        <v>974</v>
      </c>
      <c r="B712" s="210" t="s">
        <v>477</v>
      </c>
      <c r="C712" s="147" t="s">
        <v>1145</v>
      </c>
      <c r="D712" s="147" t="s">
        <v>900</v>
      </c>
      <c r="E712" s="147" t="s">
        <v>1345</v>
      </c>
      <c r="F712" s="147" t="s">
        <v>529</v>
      </c>
      <c r="G712" s="279">
        <f>G713</f>
        <v>18613.2</v>
      </c>
    </row>
    <row r="713" spans="1:7" ht="24">
      <c r="A713" s="153" t="s">
        <v>1066</v>
      </c>
      <c r="B713" s="210" t="s">
        <v>477</v>
      </c>
      <c r="C713" s="147" t="s">
        <v>1145</v>
      </c>
      <c r="D713" s="147" t="s">
        <v>900</v>
      </c>
      <c r="E713" s="147" t="s">
        <v>1345</v>
      </c>
      <c r="F713" s="147" t="s">
        <v>429</v>
      </c>
      <c r="G713" s="158">
        <f>22134.7-8810-2948.5+7500+2110-70-333-670+100-200-350+150</f>
        <v>18613.2</v>
      </c>
    </row>
    <row r="714" spans="1:7" ht="24">
      <c r="A714" s="153" t="s">
        <v>985</v>
      </c>
      <c r="B714" s="210" t="s">
        <v>477</v>
      </c>
      <c r="C714" s="147" t="s">
        <v>1145</v>
      </c>
      <c r="D714" s="147" t="s">
        <v>900</v>
      </c>
      <c r="E714" s="147" t="s">
        <v>1345</v>
      </c>
      <c r="F714" s="147" t="s">
        <v>986</v>
      </c>
      <c r="G714" s="279">
        <f>G715</f>
        <v>500.6</v>
      </c>
    </row>
    <row r="715" spans="1:7" ht="24">
      <c r="A715" s="153" t="s">
        <v>459</v>
      </c>
      <c r="B715" s="210" t="s">
        <v>477</v>
      </c>
      <c r="C715" s="147" t="s">
        <v>1145</v>
      </c>
      <c r="D715" s="147" t="s">
        <v>900</v>
      </c>
      <c r="E715" s="147" t="s">
        <v>1345</v>
      </c>
      <c r="F715" s="147" t="s">
        <v>460</v>
      </c>
      <c r="G715" s="158">
        <f>430.6+70</f>
        <v>500.6</v>
      </c>
    </row>
    <row r="716" spans="1:7" ht="36">
      <c r="A716" s="160" t="s">
        <v>1537</v>
      </c>
      <c r="B716" s="210" t="s">
        <v>477</v>
      </c>
      <c r="C716" s="147" t="s">
        <v>1145</v>
      </c>
      <c r="D716" s="147" t="s">
        <v>900</v>
      </c>
      <c r="E716" s="147" t="s">
        <v>1010</v>
      </c>
      <c r="F716" s="147"/>
      <c r="G716" s="155">
        <f>G717+G721+G725</f>
        <v>400</v>
      </c>
    </row>
    <row r="717" spans="1:7" ht="48">
      <c r="A717" s="152" t="s">
        <v>1579</v>
      </c>
      <c r="B717" s="210" t="s">
        <v>477</v>
      </c>
      <c r="C717" s="147" t="s">
        <v>1145</v>
      </c>
      <c r="D717" s="147" t="s">
        <v>900</v>
      </c>
      <c r="E717" s="147" t="s">
        <v>1580</v>
      </c>
      <c r="F717" s="147"/>
      <c r="G717" s="155">
        <f>G718</f>
        <v>300</v>
      </c>
    </row>
    <row r="718" spans="1:7" ht="24">
      <c r="A718" s="152" t="s">
        <v>1724</v>
      </c>
      <c r="B718" s="210" t="s">
        <v>477</v>
      </c>
      <c r="C718" s="147" t="s">
        <v>1145</v>
      </c>
      <c r="D718" s="147" t="s">
        <v>900</v>
      </c>
      <c r="E718" s="147" t="s">
        <v>1725</v>
      </c>
      <c r="F718" s="147"/>
      <c r="G718" s="155">
        <f>G719</f>
        <v>300</v>
      </c>
    </row>
    <row r="719" spans="1:7" ht="24">
      <c r="A719" s="153" t="s">
        <v>1066</v>
      </c>
      <c r="B719" s="210" t="s">
        <v>477</v>
      </c>
      <c r="C719" s="147" t="s">
        <v>1145</v>
      </c>
      <c r="D719" s="147" t="s">
        <v>900</v>
      </c>
      <c r="E719" s="147" t="s">
        <v>1725</v>
      </c>
      <c r="F719" s="147" t="s">
        <v>529</v>
      </c>
      <c r="G719" s="155">
        <f>G720</f>
        <v>300</v>
      </c>
    </row>
    <row r="720" spans="1:7" ht="24">
      <c r="A720" s="153" t="s">
        <v>974</v>
      </c>
      <c r="B720" s="210" t="s">
        <v>477</v>
      </c>
      <c r="C720" s="147" t="s">
        <v>1145</v>
      </c>
      <c r="D720" s="147" t="s">
        <v>900</v>
      </c>
      <c r="E720" s="147" t="s">
        <v>1725</v>
      </c>
      <c r="F720" s="147" t="s">
        <v>429</v>
      </c>
      <c r="G720" s="158">
        <v>300</v>
      </c>
    </row>
    <row r="721" spans="1:7" ht="37.5" customHeight="1">
      <c r="A721" s="152" t="s">
        <v>1584</v>
      </c>
      <c r="B721" s="210" t="s">
        <v>477</v>
      </c>
      <c r="C721" s="147" t="s">
        <v>1145</v>
      </c>
      <c r="D721" s="147" t="s">
        <v>900</v>
      </c>
      <c r="E721" s="147" t="s">
        <v>1539</v>
      </c>
      <c r="F721" s="147"/>
      <c r="G721" s="155">
        <f>G722</f>
        <v>100</v>
      </c>
    </row>
    <row r="722" spans="1:7" ht="24">
      <c r="A722" s="152" t="s">
        <v>662</v>
      </c>
      <c r="B722" s="210" t="s">
        <v>477</v>
      </c>
      <c r="C722" s="147" t="s">
        <v>1145</v>
      </c>
      <c r="D722" s="147" t="s">
        <v>900</v>
      </c>
      <c r="E722" s="147" t="s">
        <v>1540</v>
      </c>
      <c r="F722" s="147"/>
      <c r="G722" s="155">
        <f>G723</f>
        <v>100</v>
      </c>
    </row>
    <row r="723" spans="1:7" ht="24">
      <c r="A723" s="153" t="s">
        <v>1066</v>
      </c>
      <c r="B723" s="210" t="s">
        <v>477</v>
      </c>
      <c r="C723" s="147" t="s">
        <v>1145</v>
      </c>
      <c r="D723" s="147" t="s">
        <v>900</v>
      </c>
      <c r="E723" s="147" t="s">
        <v>1540</v>
      </c>
      <c r="F723" s="147" t="s">
        <v>529</v>
      </c>
      <c r="G723" s="155">
        <f>G724</f>
        <v>100</v>
      </c>
    </row>
    <row r="724" spans="1:7" ht="24">
      <c r="A724" s="153" t="s">
        <v>974</v>
      </c>
      <c r="B724" s="210" t="s">
        <v>477</v>
      </c>
      <c r="C724" s="147" t="s">
        <v>1145</v>
      </c>
      <c r="D724" s="147" t="s">
        <v>900</v>
      </c>
      <c r="E724" s="147" t="s">
        <v>1540</v>
      </c>
      <c r="F724" s="147" t="s">
        <v>429</v>
      </c>
      <c r="G724" s="158">
        <f>100+300-300</f>
        <v>100</v>
      </c>
    </row>
    <row r="725" spans="1:7" ht="24">
      <c r="A725" s="152" t="s">
        <v>1293</v>
      </c>
      <c r="B725" s="210" t="s">
        <v>477</v>
      </c>
      <c r="C725" s="147" t="s">
        <v>1145</v>
      </c>
      <c r="D725" s="147" t="s">
        <v>900</v>
      </c>
      <c r="E725" s="147" t="s">
        <v>1011</v>
      </c>
      <c r="F725" s="147"/>
      <c r="G725" s="155">
        <f>G726</f>
        <v>0</v>
      </c>
    </row>
    <row r="726" spans="1:8" ht="48">
      <c r="A726" s="152" t="s">
        <v>1212</v>
      </c>
      <c r="B726" s="210" t="s">
        <v>477</v>
      </c>
      <c r="C726" s="147" t="s">
        <v>1145</v>
      </c>
      <c r="D726" s="147" t="s">
        <v>900</v>
      </c>
      <c r="E726" s="147" t="s">
        <v>1012</v>
      </c>
      <c r="F726" s="147"/>
      <c r="G726" s="155">
        <f>G727</f>
        <v>0</v>
      </c>
      <c r="H726" s="155">
        <f>G721-I726</f>
        <v>100</v>
      </c>
    </row>
    <row r="727" spans="1:8" ht="24">
      <c r="A727" s="152" t="s">
        <v>662</v>
      </c>
      <c r="B727" s="210" t="s">
        <v>477</v>
      </c>
      <c r="C727" s="147" t="s">
        <v>1145</v>
      </c>
      <c r="D727" s="147" t="s">
        <v>900</v>
      </c>
      <c r="E727" s="147" t="s">
        <v>321</v>
      </c>
      <c r="F727" s="147"/>
      <c r="G727" s="155">
        <f>G728</f>
        <v>0</v>
      </c>
      <c r="H727" s="155">
        <f>G722-I727</f>
        <v>100</v>
      </c>
    </row>
    <row r="728" spans="1:8" ht="24">
      <c r="A728" s="153" t="s">
        <v>1066</v>
      </c>
      <c r="B728" s="210" t="s">
        <v>477</v>
      </c>
      <c r="C728" s="147" t="s">
        <v>1145</v>
      </c>
      <c r="D728" s="147" t="s">
        <v>900</v>
      </c>
      <c r="E728" s="147" t="s">
        <v>321</v>
      </c>
      <c r="F728" s="147" t="s">
        <v>529</v>
      </c>
      <c r="G728" s="155">
        <f>G729</f>
        <v>0</v>
      </c>
      <c r="H728" s="155">
        <f>G723-I728</f>
        <v>100</v>
      </c>
    </row>
    <row r="729" spans="1:8" ht="24">
      <c r="A729" s="153" t="s">
        <v>974</v>
      </c>
      <c r="B729" s="210" t="s">
        <v>477</v>
      </c>
      <c r="C729" s="147" t="s">
        <v>1145</v>
      </c>
      <c r="D729" s="147" t="s">
        <v>900</v>
      </c>
      <c r="E729" s="147" t="s">
        <v>321</v>
      </c>
      <c r="F729" s="147" t="s">
        <v>429</v>
      </c>
      <c r="G729" s="158">
        <f>600-500-100</f>
        <v>0</v>
      </c>
      <c r="H729" s="155">
        <f>G724-I729</f>
        <v>100</v>
      </c>
    </row>
    <row r="730" spans="1:7" ht="24">
      <c r="A730" s="312" t="s">
        <v>1541</v>
      </c>
      <c r="B730" s="210" t="s">
        <v>477</v>
      </c>
      <c r="C730" s="147" t="s">
        <v>1145</v>
      </c>
      <c r="D730" s="147" t="s">
        <v>900</v>
      </c>
      <c r="E730" s="147" t="s">
        <v>1542</v>
      </c>
      <c r="F730" s="147"/>
      <c r="G730" s="155">
        <f>G731</f>
        <v>0</v>
      </c>
    </row>
    <row r="731" spans="1:7" ht="48">
      <c r="A731" s="153" t="s">
        <v>1065</v>
      </c>
      <c r="B731" s="210" t="s">
        <v>477</v>
      </c>
      <c r="C731" s="147" t="s">
        <v>1145</v>
      </c>
      <c r="D731" s="147" t="s">
        <v>900</v>
      </c>
      <c r="E731" s="147" t="s">
        <v>1542</v>
      </c>
      <c r="F731" s="147" t="s">
        <v>960</v>
      </c>
      <c r="G731" s="155">
        <f>G732</f>
        <v>0</v>
      </c>
    </row>
    <row r="732" spans="1:7" ht="24">
      <c r="A732" s="153" t="s">
        <v>515</v>
      </c>
      <c r="B732" s="210" t="s">
        <v>477</v>
      </c>
      <c r="C732" s="147" t="s">
        <v>1145</v>
      </c>
      <c r="D732" s="147" t="s">
        <v>900</v>
      </c>
      <c r="E732" s="147" t="s">
        <v>1542</v>
      </c>
      <c r="F732" s="147" t="s">
        <v>115</v>
      </c>
      <c r="G732" s="158">
        <f>10486-10486</f>
        <v>0</v>
      </c>
    </row>
    <row r="733" spans="1:7" ht="25.5">
      <c r="A733" s="211" t="s">
        <v>428</v>
      </c>
      <c r="B733" s="210" t="s">
        <v>477</v>
      </c>
      <c r="C733" s="170" t="s">
        <v>436</v>
      </c>
      <c r="D733" s="170"/>
      <c r="E733" s="170"/>
      <c r="F733" s="170"/>
      <c r="G733" s="148">
        <f>G734+G777</f>
        <v>45338.5</v>
      </c>
    </row>
    <row r="734" spans="1:7" ht="24">
      <c r="A734" s="156" t="s">
        <v>377</v>
      </c>
      <c r="B734" s="210" t="s">
        <v>477</v>
      </c>
      <c r="C734" s="147" t="s">
        <v>436</v>
      </c>
      <c r="D734" s="147" t="s">
        <v>435</v>
      </c>
      <c r="E734" s="147"/>
      <c r="F734" s="147"/>
      <c r="G734" s="155">
        <f>G735</f>
        <v>9286.1</v>
      </c>
    </row>
    <row r="735" spans="1:7" ht="24">
      <c r="A735" s="160" t="s">
        <v>1276</v>
      </c>
      <c r="B735" s="210" t="s">
        <v>477</v>
      </c>
      <c r="C735" s="147" t="s">
        <v>436</v>
      </c>
      <c r="D735" s="147" t="s">
        <v>435</v>
      </c>
      <c r="E735" s="147" t="s">
        <v>193</v>
      </c>
      <c r="F735" s="147"/>
      <c r="G735" s="155">
        <f>G736+G763+G768</f>
        <v>9286.1</v>
      </c>
    </row>
    <row r="736" spans="1:7" ht="48">
      <c r="A736" s="152" t="s">
        <v>1277</v>
      </c>
      <c r="B736" s="210" t="s">
        <v>477</v>
      </c>
      <c r="C736" s="147" t="s">
        <v>436</v>
      </c>
      <c r="D736" s="147" t="s">
        <v>435</v>
      </c>
      <c r="E736" s="147" t="s">
        <v>194</v>
      </c>
      <c r="F736" s="147"/>
      <c r="G736" s="155">
        <f>G737+G741+G747+G751+G755+G759</f>
        <v>5937</v>
      </c>
    </row>
    <row r="737" spans="1:7" ht="48">
      <c r="A737" s="152" t="s">
        <v>192</v>
      </c>
      <c r="B737" s="210" t="s">
        <v>477</v>
      </c>
      <c r="C737" s="147" t="s">
        <v>436</v>
      </c>
      <c r="D737" s="147" t="s">
        <v>435</v>
      </c>
      <c r="E737" s="147" t="s">
        <v>195</v>
      </c>
      <c r="F737" s="147"/>
      <c r="G737" s="155">
        <f>G738</f>
        <v>100</v>
      </c>
    </row>
    <row r="738" spans="1:7" ht="24">
      <c r="A738" s="152" t="s">
        <v>196</v>
      </c>
      <c r="B738" s="210" t="s">
        <v>477</v>
      </c>
      <c r="C738" s="147" t="s">
        <v>436</v>
      </c>
      <c r="D738" s="147" t="s">
        <v>435</v>
      </c>
      <c r="E738" s="147" t="s">
        <v>197</v>
      </c>
      <c r="F738" s="147"/>
      <c r="G738" s="155">
        <f>G739</f>
        <v>100</v>
      </c>
    </row>
    <row r="739" spans="1:7" ht="24">
      <c r="A739" s="153" t="s">
        <v>1066</v>
      </c>
      <c r="B739" s="210" t="s">
        <v>477</v>
      </c>
      <c r="C739" s="147" t="s">
        <v>436</v>
      </c>
      <c r="D739" s="147" t="s">
        <v>435</v>
      </c>
      <c r="E739" s="147" t="s">
        <v>197</v>
      </c>
      <c r="F739" s="147" t="s">
        <v>529</v>
      </c>
      <c r="G739" s="155">
        <f>G740</f>
        <v>100</v>
      </c>
    </row>
    <row r="740" spans="1:7" ht="24">
      <c r="A740" s="153" t="s">
        <v>591</v>
      </c>
      <c r="B740" s="210" t="s">
        <v>477</v>
      </c>
      <c r="C740" s="147" t="s">
        <v>436</v>
      </c>
      <c r="D740" s="147" t="s">
        <v>435</v>
      </c>
      <c r="E740" s="147" t="s">
        <v>197</v>
      </c>
      <c r="F740" s="147" t="s">
        <v>429</v>
      </c>
      <c r="G740" s="158">
        <v>100</v>
      </c>
    </row>
    <row r="741" spans="1:7" ht="36">
      <c r="A741" s="157" t="s">
        <v>1448</v>
      </c>
      <c r="B741" s="210" t="s">
        <v>477</v>
      </c>
      <c r="C741" s="147" t="s">
        <v>436</v>
      </c>
      <c r="D741" s="147" t="s">
        <v>435</v>
      </c>
      <c r="E741" s="147" t="s">
        <v>1446</v>
      </c>
      <c r="F741" s="147"/>
      <c r="G741" s="279">
        <f>G742</f>
        <v>542</v>
      </c>
    </row>
    <row r="742" spans="1:7" ht="24">
      <c r="A742" s="152" t="s">
        <v>196</v>
      </c>
      <c r="B742" s="210" t="s">
        <v>477</v>
      </c>
      <c r="C742" s="147" t="s">
        <v>436</v>
      </c>
      <c r="D742" s="147" t="s">
        <v>435</v>
      </c>
      <c r="E742" s="147" t="s">
        <v>1447</v>
      </c>
      <c r="F742" s="10"/>
      <c r="G742" s="279">
        <f>G743+G745</f>
        <v>542</v>
      </c>
    </row>
    <row r="743" spans="1:7" ht="24">
      <c r="A743" s="153" t="s">
        <v>1066</v>
      </c>
      <c r="B743" s="210" t="s">
        <v>477</v>
      </c>
      <c r="C743" s="147" t="s">
        <v>436</v>
      </c>
      <c r="D743" s="147" t="s">
        <v>435</v>
      </c>
      <c r="E743" s="147" t="s">
        <v>1447</v>
      </c>
      <c r="F743" s="147" t="s">
        <v>529</v>
      </c>
      <c r="G743" s="279">
        <f>G744</f>
        <v>74</v>
      </c>
    </row>
    <row r="744" spans="1:7" ht="24">
      <c r="A744" s="153" t="s">
        <v>591</v>
      </c>
      <c r="B744" s="210" t="s">
        <v>477</v>
      </c>
      <c r="C744" s="147" t="s">
        <v>436</v>
      </c>
      <c r="D744" s="147" t="s">
        <v>435</v>
      </c>
      <c r="E744" s="147" t="s">
        <v>1447</v>
      </c>
      <c r="F744" s="147" t="s">
        <v>429</v>
      </c>
      <c r="G744" s="158">
        <f>1000+22-948</f>
        <v>74</v>
      </c>
    </row>
    <row r="745" spans="1:7" ht="24">
      <c r="A745" s="153" t="s">
        <v>985</v>
      </c>
      <c r="B745" s="210" t="s">
        <v>477</v>
      </c>
      <c r="C745" s="147" t="s">
        <v>436</v>
      </c>
      <c r="D745" s="147" t="s">
        <v>435</v>
      </c>
      <c r="E745" s="147" t="s">
        <v>1447</v>
      </c>
      <c r="F745" s="147" t="s">
        <v>986</v>
      </c>
      <c r="G745" s="279">
        <f>G746</f>
        <v>468</v>
      </c>
    </row>
    <row r="746" spans="1:7" ht="24">
      <c r="A746" s="157" t="s">
        <v>987</v>
      </c>
      <c r="B746" s="210" t="s">
        <v>477</v>
      </c>
      <c r="C746" s="147" t="s">
        <v>436</v>
      </c>
      <c r="D746" s="147" t="s">
        <v>435</v>
      </c>
      <c r="E746" s="147" t="s">
        <v>1447</v>
      </c>
      <c r="F746" s="147" t="s">
        <v>988</v>
      </c>
      <c r="G746" s="158">
        <f>490-22</f>
        <v>468</v>
      </c>
    </row>
    <row r="747" spans="1:7" ht="24">
      <c r="A747" s="157" t="s">
        <v>1451</v>
      </c>
      <c r="B747" s="210" t="s">
        <v>477</v>
      </c>
      <c r="C747" s="147" t="s">
        <v>436</v>
      </c>
      <c r="D747" s="147" t="s">
        <v>435</v>
      </c>
      <c r="E747" s="147" t="s">
        <v>1449</v>
      </c>
      <c r="F747" s="147"/>
      <c r="G747" s="279">
        <f>G748</f>
        <v>150</v>
      </c>
    </row>
    <row r="748" spans="1:7" ht="24">
      <c r="A748" s="152" t="s">
        <v>196</v>
      </c>
      <c r="B748" s="210" t="s">
        <v>477</v>
      </c>
      <c r="C748" s="147" t="s">
        <v>436</v>
      </c>
      <c r="D748" s="147" t="s">
        <v>435</v>
      </c>
      <c r="E748" s="147" t="s">
        <v>1450</v>
      </c>
      <c r="F748" s="147"/>
      <c r="G748" s="279">
        <f>G749</f>
        <v>150</v>
      </c>
    </row>
    <row r="749" spans="1:7" ht="24">
      <c r="A749" s="153" t="s">
        <v>1066</v>
      </c>
      <c r="B749" s="210" t="s">
        <v>477</v>
      </c>
      <c r="C749" s="147" t="s">
        <v>436</v>
      </c>
      <c r="D749" s="147" t="s">
        <v>435</v>
      </c>
      <c r="E749" s="147" t="s">
        <v>1450</v>
      </c>
      <c r="F749" s="147" t="s">
        <v>529</v>
      </c>
      <c r="G749" s="279">
        <f>G750</f>
        <v>150</v>
      </c>
    </row>
    <row r="750" spans="1:7" ht="24">
      <c r="A750" s="153" t="s">
        <v>591</v>
      </c>
      <c r="B750" s="210" t="s">
        <v>477</v>
      </c>
      <c r="C750" s="147" t="s">
        <v>436</v>
      </c>
      <c r="D750" s="147" t="s">
        <v>435</v>
      </c>
      <c r="E750" s="147" t="s">
        <v>1450</v>
      </c>
      <c r="F750" s="147" t="s">
        <v>429</v>
      </c>
      <c r="G750" s="158">
        <v>150</v>
      </c>
    </row>
    <row r="751" spans="1:7" ht="24">
      <c r="A751" s="153" t="s">
        <v>1456</v>
      </c>
      <c r="B751" s="210" t="s">
        <v>477</v>
      </c>
      <c r="C751" s="147" t="s">
        <v>436</v>
      </c>
      <c r="D751" s="147" t="s">
        <v>435</v>
      </c>
      <c r="E751" s="147" t="s">
        <v>1452</v>
      </c>
      <c r="F751" s="147"/>
      <c r="G751" s="279">
        <f>G752</f>
        <v>150</v>
      </c>
    </row>
    <row r="752" spans="1:7" ht="24">
      <c r="A752" s="152" t="s">
        <v>196</v>
      </c>
      <c r="B752" s="210" t="s">
        <v>477</v>
      </c>
      <c r="C752" s="147" t="s">
        <v>436</v>
      </c>
      <c r="D752" s="147" t="s">
        <v>435</v>
      </c>
      <c r="E752" s="147" t="s">
        <v>1543</v>
      </c>
      <c r="F752" s="147"/>
      <c r="G752" s="279">
        <f>G753</f>
        <v>150</v>
      </c>
    </row>
    <row r="753" spans="1:7" ht="24">
      <c r="A753" s="153" t="s">
        <v>1066</v>
      </c>
      <c r="B753" s="210" t="s">
        <v>477</v>
      </c>
      <c r="C753" s="147" t="s">
        <v>436</v>
      </c>
      <c r="D753" s="147" t="s">
        <v>435</v>
      </c>
      <c r="E753" s="147" t="s">
        <v>1543</v>
      </c>
      <c r="F753" s="147" t="s">
        <v>529</v>
      </c>
      <c r="G753" s="279">
        <f>G754</f>
        <v>150</v>
      </c>
    </row>
    <row r="754" spans="1:7" ht="24">
      <c r="A754" s="153" t="s">
        <v>591</v>
      </c>
      <c r="B754" s="210" t="s">
        <v>477</v>
      </c>
      <c r="C754" s="147" t="s">
        <v>436</v>
      </c>
      <c r="D754" s="147" t="s">
        <v>435</v>
      </c>
      <c r="E754" s="147" t="s">
        <v>1543</v>
      </c>
      <c r="F754" s="147" t="s">
        <v>429</v>
      </c>
      <c r="G754" s="158">
        <v>150</v>
      </c>
    </row>
    <row r="755" spans="1:7" ht="36">
      <c r="A755" s="153" t="s">
        <v>1457</v>
      </c>
      <c r="B755" s="210" t="s">
        <v>477</v>
      </c>
      <c r="C755" s="147" t="s">
        <v>436</v>
      </c>
      <c r="D755" s="147" t="s">
        <v>435</v>
      </c>
      <c r="E755" s="147" t="s">
        <v>1454</v>
      </c>
      <c r="F755" s="147"/>
      <c r="G755" s="279">
        <f>G756</f>
        <v>350</v>
      </c>
    </row>
    <row r="756" spans="1:7" ht="24">
      <c r="A756" s="152" t="s">
        <v>196</v>
      </c>
      <c r="B756" s="210" t="s">
        <v>477</v>
      </c>
      <c r="C756" s="147" t="s">
        <v>436</v>
      </c>
      <c r="D756" s="147" t="s">
        <v>435</v>
      </c>
      <c r="E756" s="147" t="s">
        <v>1455</v>
      </c>
      <c r="F756" s="147"/>
      <c r="G756" s="279">
        <f>G757</f>
        <v>350</v>
      </c>
    </row>
    <row r="757" spans="1:7" ht="24">
      <c r="A757" s="153" t="s">
        <v>1066</v>
      </c>
      <c r="B757" s="210" t="s">
        <v>477</v>
      </c>
      <c r="C757" s="147" t="s">
        <v>436</v>
      </c>
      <c r="D757" s="147" t="s">
        <v>435</v>
      </c>
      <c r="E757" s="147" t="s">
        <v>1455</v>
      </c>
      <c r="F757" s="147" t="s">
        <v>529</v>
      </c>
      <c r="G757" s="279">
        <f>G758</f>
        <v>350</v>
      </c>
    </row>
    <row r="758" spans="1:7" ht="24">
      <c r="A758" s="153" t="s">
        <v>591</v>
      </c>
      <c r="B758" s="210" t="s">
        <v>477</v>
      </c>
      <c r="C758" s="147" t="s">
        <v>436</v>
      </c>
      <c r="D758" s="147" t="s">
        <v>435</v>
      </c>
      <c r="E758" s="147" t="s">
        <v>1455</v>
      </c>
      <c r="F758" s="147" t="s">
        <v>429</v>
      </c>
      <c r="G758" s="158">
        <v>350</v>
      </c>
    </row>
    <row r="759" spans="1:7" ht="24">
      <c r="A759" s="153" t="s">
        <v>840</v>
      </c>
      <c r="B759" s="210" t="s">
        <v>477</v>
      </c>
      <c r="C759" s="147" t="s">
        <v>436</v>
      </c>
      <c r="D759" s="147" t="s">
        <v>435</v>
      </c>
      <c r="E759" s="147" t="s">
        <v>1780</v>
      </c>
      <c r="F759" s="147"/>
      <c r="G759" s="155">
        <f>G760</f>
        <v>4645</v>
      </c>
    </row>
    <row r="760" spans="1:7" ht="24">
      <c r="A760" s="153" t="s">
        <v>841</v>
      </c>
      <c r="B760" s="210" t="s">
        <v>477</v>
      </c>
      <c r="C760" s="147" t="s">
        <v>436</v>
      </c>
      <c r="D760" s="147" t="s">
        <v>435</v>
      </c>
      <c r="E760" s="147" t="s">
        <v>1781</v>
      </c>
      <c r="F760" s="147"/>
      <c r="G760" s="155">
        <f>G761</f>
        <v>4645</v>
      </c>
    </row>
    <row r="761" spans="1:7" ht="48">
      <c r="A761" s="153" t="s">
        <v>1065</v>
      </c>
      <c r="B761" s="210" t="s">
        <v>477</v>
      </c>
      <c r="C761" s="147" t="s">
        <v>436</v>
      </c>
      <c r="D761" s="147" t="s">
        <v>435</v>
      </c>
      <c r="E761" s="147" t="s">
        <v>1781</v>
      </c>
      <c r="F761" s="147" t="s">
        <v>960</v>
      </c>
      <c r="G761" s="155">
        <f>G762</f>
        <v>4645</v>
      </c>
    </row>
    <row r="762" spans="1:7" ht="24">
      <c r="A762" s="152" t="s">
        <v>1165</v>
      </c>
      <c r="B762" s="210" t="s">
        <v>477</v>
      </c>
      <c r="C762" s="147" t="s">
        <v>436</v>
      </c>
      <c r="D762" s="147" t="s">
        <v>435</v>
      </c>
      <c r="E762" s="147" t="s">
        <v>1781</v>
      </c>
      <c r="F762" s="147" t="s">
        <v>1166</v>
      </c>
      <c r="G762" s="158">
        <v>4645</v>
      </c>
    </row>
    <row r="763" spans="1:7" ht="36">
      <c r="A763" s="152" t="s">
        <v>1294</v>
      </c>
      <c r="B763" s="210" t="s">
        <v>477</v>
      </c>
      <c r="C763" s="147" t="s">
        <v>436</v>
      </c>
      <c r="D763" s="147" t="s">
        <v>435</v>
      </c>
      <c r="E763" s="147" t="s">
        <v>333</v>
      </c>
      <c r="F763" s="147"/>
      <c r="G763" s="155">
        <f>G765</f>
        <v>2000</v>
      </c>
    </row>
    <row r="764" spans="1:7" ht="60">
      <c r="A764" s="152" t="s">
        <v>1458</v>
      </c>
      <c r="B764" s="210" t="s">
        <v>477</v>
      </c>
      <c r="C764" s="147" t="s">
        <v>436</v>
      </c>
      <c r="D764" s="147" t="s">
        <v>435</v>
      </c>
      <c r="E764" s="147" t="s">
        <v>334</v>
      </c>
      <c r="F764" s="147"/>
      <c r="G764" s="155">
        <f>G765</f>
        <v>2000</v>
      </c>
    </row>
    <row r="765" spans="1:7" ht="36">
      <c r="A765" s="152" t="s">
        <v>332</v>
      </c>
      <c r="B765" s="210" t="s">
        <v>477</v>
      </c>
      <c r="C765" s="147" t="s">
        <v>436</v>
      </c>
      <c r="D765" s="147" t="s">
        <v>435</v>
      </c>
      <c r="E765" s="147" t="s">
        <v>335</v>
      </c>
      <c r="F765" s="147"/>
      <c r="G765" s="155">
        <f>G766</f>
        <v>2000</v>
      </c>
    </row>
    <row r="766" spans="1:7" ht="24">
      <c r="A766" s="153" t="s">
        <v>1066</v>
      </c>
      <c r="B766" s="210" t="s">
        <v>477</v>
      </c>
      <c r="C766" s="147" t="s">
        <v>436</v>
      </c>
      <c r="D766" s="147" t="s">
        <v>435</v>
      </c>
      <c r="E766" s="147" t="s">
        <v>335</v>
      </c>
      <c r="F766" s="147" t="s">
        <v>529</v>
      </c>
      <c r="G766" s="155">
        <f>G767</f>
        <v>2000</v>
      </c>
    </row>
    <row r="767" spans="1:7" ht="24">
      <c r="A767" s="153" t="s">
        <v>591</v>
      </c>
      <c r="B767" s="210" t="s">
        <v>477</v>
      </c>
      <c r="C767" s="147" t="s">
        <v>436</v>
      </c>
      <c r="D767" s="147" t="s">
        <v>435</v>
      </c>
      <c r="E767" s="147" t="s">
        <v>335</v>
      </c>
      <c r="F767" s="147" t="s">
        <v>429</v>
      </c>
      <c r="G767" s="158">
        <f>1500+500</f>
        <v>2000</v>
      </c>
    </row>
    <row r="768" spans="1:7" ht="24">
      <c r="A768" s="153" t="s">
        <v>1295</v>
      </c>
      <c r="B768" s="210" t="s">
        <v>477</v>
      </c>
      <c r="C768" s="147" t="s">
        <v>436</v>
      </c>
      <c r="D768" s="147" t="s">
        <v>435</v>
      </c>
      <c r="E768" s="147" t="s">
        <v>337</v>
      </c>
      <c r="F768" s="147"/>
      <c r="G768" s="155">
        <f>G769+G773</f>
        <v>1349.1</v>
      </c>
    </row>
    <row r="769" spans="1:7" ht="36">
      <c r="A769" s="153" t="s">
        <v>1459</v>
      </c>
      <c r="B769" s="210" t="s">
        <v>477</v>
      </c>
      <c r="C769" s="147" t="s">
        <v>436</v>
      </c>
      <c r="D769" s="147" t="s">
        <v>435</v>
      </c>
      <c r="E769" s="147" t="s">
        <v>338</v>
      </c>
      <c r="F769" s="147"/>
      <c r="G769" s="155">
        <f>G770</f>
        <v>400</v>
      </c>
    </row>
    <row r="770" spans="1:7" ht="24">
      <c r="A770" s="153" t="s">
        <v>336</v>
      </c>
      <c r="B770" s="210" t="s">
        <v>477</v>
      </c>
      <c r="C770" s="147" t="s">
        <v>436</v>
      </c>
      <c r="D770" s="147" t="s">
        <v>435</v>
      </c>
      <c r="E770" s="147" t="s">
        <v>339</v>
      </c>
      <c r="F770" s="147"/>
      <c r="G770" s="155">
        <f>G771</f>
        <v>400</v>
      </c>
    </row>
    <row r="771" spans="1:7" ht="24">
      <c r="A771" s="153" t="s">
        <v>1066</v>
      </c>
      <c r="B771" s="210" t="s">
        <v>477</v>
      </c>
      <c r="C771" s="147" t="s">
        <v>436</v>
      </c>
      <c r="D771" s="147" t="s">
        <v>435</v>
      </c>
      <c r="E771" s="147" t="s">
        <v>339</v>
      </c>
      <c r="F771" s="147" t="s">
        <v>529</v>
      </c>
      <c r="G771" s="155">
        <f>G772</f>
        <v>400</v>
      </c>
    </row>
    <row r="772" spans="1:7" ht="24">
      <c r="A772" s="153" t="s">
        <v>591</v>
      </c>
      <c r="B772" s="210" t="s">
        <v>477</v>
      </c>
      <c r="C772" s="147" t="s">
        <v>436</v>
      </c>
      <c r="D772" s="147" t="s">
        <v>435</v>
      </c>
      <c r="E772" s="147" t="s">
        <v>339</v>
      </c>
      <c r="F772" s="147" t="s">
        <v>429</v>
      </c>
      <c r="G772" s="158">
        <v>400</v>
      </c>
    </row>
    <row r="773" spans="1:7" ht="24">
      <c r="A773" s="153" t="s">
        <v>1460</v>
      </c>
      <c r="B773" s="210" t="s">
        <v>477</v>
      </c>
      <c r="C773" s="147" t="s">
        <v>436</v>
      </c>
      <c r="D773" s="147" t="s">
        <v>435</v>
      </c>
      <c r="E773" s="147" t="s">
        <v>1487</v>
      </c>
      <c r="F773" s="147"/>
      <c r="G773" s="279">
        <f>G774</f>
        <v>949.0999999999999</v>
      </c>
    </row>
    <row r="774" spans="1:7" ht="24">
      <c r="A774" s="153" t="s">
        <v>1461</v>
      </c>
      <c r="B774" s="210" t="s">
        <v>477</v>
      </c>
      <c r="C774" s="147" t="s">
        <v>436</v>
      </c>
      <c r="D774" s="147" t="s">
        <v>435</v>
      </c>
      <c r="E774" s="147" t="s">
        <v>1488</v>
      </c>
      <c r="F774" s="147"/>
      <c r="G774" s="279">
        <f>G775</f>
        <v>949.0999999999999</v>
      </c>
    </row>
    <row r="775" spans="1:7" ht="24">
      <c r="A775" s="153" t="s">
        <v>1066</v>
      </c>
      <c r="B775" s="210" t="s">
        <v>477</v>
      </c>
      <c r="C775" s="147" t="s">
        <v>436</v>
      </c>
      <c r="D775" s="147" t="s">
        <v>435</v>
      </c>
      <c r="E775" s="147" t="s">
        <v>1488</v>
      </c>
      <c r="F775" s="147" t="s">
        <v>680</v>
      </c>
      <c r="G775" s="279">
        <f>G776</f>
        <v>949.0999999999999</v>
      </c>
    </row>
    <row r="776" spans="1:7" ht="24">
      <c r="A776" s="153" t="s">
        <v>591</v>
      </c>
      <c r="B776" s="210" t="s">
        <v>477</v>
      </c>
      <c r="C776" s="147" t="s">
        <v>436</v>
      </c>
      <c r="D776" s="147" t="s">
        <v>435</v>
      </c>
      <c r="E776" s="147" t="s">
        <v>1488</v>
      </c>
      <c r="F776" s="147" t="s">
        <v>429</v>
      </c>
      <c r="G776" s="158">
        <f>1849.1-900</f>
        <v>949.0999999999999</v>
      </c>
    </row>
    <row r="777" spans="1:7" ht="24">
      <c r="A777" s="156" t="s">
        <v>717</v>
      </c>
      <c r="B777" s="210" t="s">
        <v>477</v>
      </c>
      <c r="C777" s="147" t="s">
        <v>436</v>
      </c>
      <c r="D777" s="147" t="s">
        <v>175</v>
      </c>
      <c r="E777" s="147"/>
      <c r="F777" s="147"/>
      <c r="G777" s="155">
        <f>G778</f>
        <v>36052.4</v>
      </c>
    </row>
    <row r="778" spans="1:7" ht="24">
      <c r="A778" s="160" t="s">
        <v>1276</v>
      </c>
      <c r="B778" s="210" t="s">
        <v>477</v>
      </c>
      <c r="C778" s="147" t="s">
        <v>436</v>
      </c>
      <c r="D778" s="147" t="s">
        <v>175</v>
      </c>
      <c r="E778" s="147" t="s">
        <v>193</v>
      </c>
      <c r="F778" s="147"/>
      <c r="G778" s="155">
        <f>G779+G793</f>
        <v>36052.4</v>
      </c>
    </row>
    <row r="779" spans="1:7" ht="24">
      <c r="A779" s="152" t="s">
        <v>1296</v>
      </c>
      <c r="B779" s="210" t="s">
        <v>477</v>
      </c>
      <c r="C779" s="147" t="s">
        <v>436</v>
      </c>
      <c r="D779" s="147" t="s">
        <v>175</v>
      </c>
      <c r="E779" s="147" t="s">
        <v>340</v>
      </c>
      <c r="F779" s="147"/>
      <c r="G779" s="155">
        <f>G780+G787</f>
        <v>13085</v>
      </c>
    </row>
    <row r="780" spans="1:7" ht="24">
      <c r="A780" s="152" t="s">
        <v>1462</v>
      </c>
      <c r="B780" s="210" t="s">
        <v>477</v>
      </c>
      <c r="C780" s="147" t="s">
        <v>436</v>
      </c>
      <c r="D780" s="147" t="s">
        <v>175</v>
      </c>
      <c r="E780" s="147" t="s">
        <v>341</v>
      </c>
      <c r="F780" s="147"/>
      <c r="G780" s="155">
        <f>G781+G784</f>
        <v>5103</v>
      </c>
    </row>
    <row r="781" spans="1:7" ht="24">
      <c r="A781" s="152" t="s">
        <v>202</v>
      </c>
      <c r="B781" s="210" t="s">
        <v>477</v>
      </c>
      <c r="C781" s="147" t="s">
        <v>436</v>
      </c>
      <c r="D781" s="147" t="s">
        <v>175</v>
      </c>
      <c r="E781" s="147" t="s">
        <v>342</v>
      </c>
      <c r="F781" s="147"/>
      <c r="G781" s="155">
        <f>G782</f>
        <v>2700</v>
      </c>
    </row>
    <row r="782" spans="1:7" ht="24">
      <c r="A782" s="153" t="s">
        <v>1066</v>
      </c>
      <c r="B782" s="210" t="s">
        <v>477</v>
      </c>
      <c r="C782" s="147" t="s">
        <v>436</v>
      </c>
      <c r="D782" s="147" t="s">
        <v>175</v>
      </c>
      <c r="E782" s="147" t="s">
        <v>342</v>
      </c>
      <c r="F782" s="147" t="s">
        <v>529</v>
      </c>
      <c r="G782" s="155">
        <f>G783</f>
        <v>2700</v>
      </c>
    </row>
    <row r="783" spans="1:7" ht="24">
      <c r="A783" s="153" t="s">
        <v>974</v>
      </c>
      <c r="B783" s="210" t="s">
        <v>477</v>
      </c>
      <c r="C783" s="147" t="s">
        <v>436</v>
      </c>
      <c r="D783" s="147" t="s">
        <v>175</v>
      </c>
      <c r="E783" s="147" t="s">
        <v>342</v>
      </c>
      <c r="F783" s="147" t="s">
        <v>429</v>
      </c>
      <c r="G783" s="158">
        <f>900+1400+400</f>
        <v>2700</v>
      </c>
    </row>
    <row r="784" spans="1:7" ht="36">
      <c r="A784" s="153" t="s">
        <v>1637</v>
      </c>
      <c r="B784" s="210" t="s">
        <v>477</v>
      </c>
      <c r="C784" s="147" t="s">
        <v>436</v>
      </c>
      <c r="D784" s="147" t="s">
        <v>175</v>
      </c>
      <c r="E784" s="147" t="s">
        <v>1638</v>
      </c>
      <c r="F784" s="147"/>
      <c r="G784" s="279">
        <f>G785</f>
        <v>2403</v>
      </c>
    </row>
    <row r="785" spans="1:7" ht="24">
      <c r="A785" s="153" t="s">
        <v>1066</v>
      </c>
      <c r="B785" s="210" t="s">
        <v>477</v>
      </c>
      <c r="C785" s="147" t="s">
        <v>436</v>
      </c>
      <c r="D785" s="147" t="s">
        <v>175</v>
      </c>
      <c r="E785" s="147" t="s">
        <v>1638</v>
      </c>
      <c r="F785" s="147" t="s">
        <v>529</v>
      </c>
      <c r="G785" s="279">
        <f>G786</f>
        <v>2403</v>
      </c>
    </row>
    <row r="786" spans="1:7" ht="24">
      <c r="A786" s="153" t="s">
        <v>974</v>
      </c>
      <c r="B786" s="210" t="s">
        <v>477</v>
      </c>
      <c r="C786" s="147" t="s">
        <v>436</v>
      </c>
      <c r="D786" s="147" t="s">
        <v>175</v>
      </c>
      <c r="E786" s="147" t="s">
        <v>1638</v>
      </c>
      <c r="F786" s="147" t="s">
        <v>429</v>
      </c>
      <c r="G786" s="158">
        <v>2403</v>
      </c>
    </row>
    <row r="787" spans="1:7" ht="24">
      <c r="A787" s="153" t="s">
        <v>1465</v>
      </c>
      <c r="B787" s="210" t="s">
        <v>477</v>
      </c>
      <c r="C787" s="147" t="s">
        <v>436</v>
      </c>
      <c r="D787" s="147" t="s">
        <v>175</v>
      </c>
      <c r="E787" s="147" t="s">
        <v>1463</v>
      </c>
      <c r="F787" s="147"/>
      <c r="G787" s="279">
        <f>G788</f>
        <v>7982</v>
      </c>
    </row>
    <row r="788" spans="1:7" ht="24">
      <c r="A788" s="152" t="s">
        <v>202</v>
      </c>
      <c r="B788" s="210" t="s">
        <v>477</v>
      </c>
      <c r="C788" s="147" t="s">
        <v>436</v>
      </c>
      <c r="D788" s="147" t="s">
        <v>175</v>
      </c>
      <c r="E788" s="147" t="s">
        <v>1464</v>
      </c>
      <c r="F788" s="147"/>
      <c r="G788" s="279">
        <f>G789+G791</f>
        <v>7982</v>
      </c>
    </row>
    <row r="789" spans="1:7" ht="24.75" customHeight="1">
      <c r="A789" s="153" t="s">
        <v>1066</v>
      </c>
      <c r="B789" s="210" t="s">
        <v>477</v>
      </c>
      <c r="C789" s="147" t="s">
        <v>436</v>
      </c>
      <c r="D789" s="147" t="s">
        <v>175</v>
      </c>
      <c r="E789" s="147" t="s">
        <v>1464</v>
      </c>
      <c r="F789" s="147" t="s">
        <v>529</v>
      </c>
      <c r="G789" s="279">
        <f>G790</f>
        <v>7882</v>
      </c>
    </row>
    <row r="790" spans="1:7" ht="24">
      <c r="A790" s="153" t="s">
        <v>974</v>
      </c>
      <c r="B790" s="210" t="s">
        <v>477</v>
      </c>
      <c r="C790" s="147" t="s">
        <v>436</v>
      </c>
      <c r="D790" s="147" t="s">
        <v>175</v>
      </c>
      <c r="E790" s="147" t="s">
        <v>1464</v>
      </c>
      <c r="F790" s="147" t="s">
        <v>429</v>
      </c>
      <c r="G790" s="158">
        <f>580+100+7202</f>
        <v>7882</v>
      </c>
    </row>
    <row r="791" spans="1:7" ht="24">
      <c r="A791" s="153" t="s">
        <v>985</v>
      </c>
      <c r="B791" s="210" t="s">
        <v>477</v>
      </c>
      <c r="C791" s="147" t="s">
        <v>436</v>
      </c>
      <c r="D791" s="147" t="s">
        <v>175</v>
      </c>
      <c r="E791" s="147" t="s">
        <v>1464</v>
      </c>
      <c r="F791" s="147" t="s">
        <v>986</v>
      </c>
      <c r="G791" s="155">
        <f>G792</f>
        <v>100</v>
      </c>
    </row>
    <row r="792" spans="1:7" ht="24">
      <c r="A792" s="157" t="s">
        <v>987</v>
      </c>
      <c r="B792" s="210" t="s">
        <v>477</v>
      </c>
      <c r="C792" s="147" t="s">
        <v>436</v>
      </c>
      <c r="D792" s="147" t="s">
        <v>175</v>
      </c>
      <c r="E792" s="147" t="s">
        <v>1464</v>
      </c>
      <c r="F792" s="147" t="s">
        <v>988</v>
      </c>
      <c r="G792" s="158">
        <v>100</v>
      </c>
    </row>
    <row r="793" spans="1:7" ht="36">
      <c r="A793" s="15" t="s">
        <v>1297</v>
      </c>
      <c r="B793" s="210" t="s">
        <v>477</v>
      </c>
      <c r="C793" s="147" t="s">
        <v>436</v>
      </c>
      <c r="D793" s="147" t="s">
        <v>175</v>
      </c>
      <c r="E793" s="147" t="s">
        <v>203</v>
      </c>
      <c r="F793" s="147"/>
      <c r="G793" s="155">
        <f>G794+G798+G802+G808+G812+G816+G820+G824</f>
        <v>22967.4</v>
      </c>
    </row>
    <row r="794" spans="1:7" ht="36">
      <c r="A794" s="15" t="s">
        <v>1466</v>
      </c>
      <c r="B794" s="210" t="s">
        <v>477</v>
      </c>
      <c r="C794" s="147" t="s">
        <v>436</v>
      </c>
      <c r="D794" s="147" t="s">
        <v>175</v>
      </c>
      <c r="E794" s="147" t="s">
        <v>204</v>
      </c>
      <c r="F794" s="147"/>
      <c r="G794" s="155">
        <f>G795</f>
        <v>1404</v>
      </c>
    </row>
    <row r="795" spans="1:7" ht="24">
      <c r="A795" s="15" t="s">
        <v>1468</v>
      </c>
      <c r="B795" s="210" t="s">
        <v>477</v>
      </c>
      <c r="C795" s="147" t="s">
        <v>436</v>
      </c>
      <c r="D795" s="147" t="s">
        <v>175</v>
      </c>
      <c r="E795" s="147" t="s">
        <v>1467</v>
      </c>
      <c r="F795" s="147"/>
      <c r="G795" s="155">
        <f>G796</f>
        <v>1404</v>
      </c>
    </row>
    <row r="796" spans="1:7" ht="24">
      <c r="A796" s="153" t="s">
        <v>1066</v>
      </c>
      <c r="B796" s="210" t="s">
        <v>477</v>
      </c>
      <c r="C796" s="147" t="s">
        <v>436</v>
      </c>
      <c r="D796" s="147" t="s">
        <v>175</v>
      </c>
      <c r="E796" s="147" t="s">
        <v>1467</v>
      </c>
      <c r="F796" s="147" t="s">
        <v>529</v>
      </c>
      <c r="G796" s="155">
        <f>G797</f>
        <v>1404</v>
      </c>
    </row>
    <row r="797" spans="1:7" ht="24">
      <c r="A797" s="153" t="s">
        <v>591</v>
      </c>
      <c r="B797" s="210" t="s">
        <v>477</v>
      </c>
      <c r="C797" s="147" t="s">
        <v>436</v>
      </c>
      <c r="D797" s="147" t="s">
        <v>175</v>
      </c>
      <c r="E797" s="147" t="s">
        <v>1467</v>
      </c>
      <c r="F797" s="147" t="s">
        <v>429</v>
      </c>
      <c r="G797" s="158">
        <f>485+919</f>
        <v>1404</v>
      </c>
    </row>
    <row r="798" spans="1:7" ht="24">
      <c r="A798" s="153" t="s">
        <v>1469</v>
      </c>
      <c r="B798" s="210" t="s">
        <v>477</v>
      </c>
      <c r="C798" s="147" t="s">
        <v>436</v>
      </c>
      <c r="D798" s="147" t="s">
        <v>175</v>
      </c>
      <c r="E798" s="253" t="s">
        <v>207</v>
      </c>
      <c r="F798" s="147"/>
      <c r="G798" s="155">
        <f>G799</f>
        <v>1310</v>
      </c>
    </row>
    <row r="799" spans="1:7" ht="24">
      <c r="A799" s="153" t="s">
        <v>205</v>
      </c>
      <c r="B799" s="210" t="s">
        <v>477</v>
      </c>
      <c r="C799" s="147" t="s">
        <v>436</v>
      </c>
      <c r="D799" s="147" t="s">
        <v>175</v>
      </c>
      <c r="E799" s="147" t="s">
        <v>206</v>
      </c>
      <c r="F799" s="147"/>
      <c r="G799" s="155">
        <f>G800</f>
        <v>1310</v>
      </c>
    </row>
    <row r="800" spans="1:7" ht="24">
      <c r="A800" s="153" t="s">
        <v>1066</v>
      </c>
      <c r="B800" s="210" t="s">
        <v>477</v>
      </c>
      <c r="C800" s="147" t="s">
        <v>436</v>
      </c>
      <c r="D800" s="147" t="s">
        <v>175</v>
      </c>
      <c r="E800" s="147" t="s">
        <v>206</v>
      </c>
      <c r="F800" s="147" t="s">
        <v>529</v>
      </c>
      <c r="G800" s="155">
        <f>G801</f>
        <v>1310</v>
      </c>
    </row>
    <row r="801" spans="1:7" ht="24">
      <c r="A801" s="153" t="s">
        <v>591</v>
      </c>
      <c r="B801" s="210" t="s">
        <v>477</v>
      </c>
      <c r="C801" s="147" t="s">
        <v>436</v>
      </c>
      <c r="D801" s="147" t="s">
        <v>175</v>
      </c>
      <c r="E801" s="147" t="s">
        <v>206</v>
      </c>
      <c r="F801" s="147" t="s">
        <v>429</v>
      </c>
      <c r="G801" s="158">
        <f>3300-1990</f>
        <v>1310</v>
      </c>
    </row>
    <row r="802" spans="1:7" ht="24">
      <c r="A802" s="153" t="s">
        <v>208</v>
      </c>
      <c r="B802" s="210" t="s">
        <v>477</v>
      </c>
      <c r="C802" s="147" t="s">
        <v>436</v>
      </c>
      <c r="D802" s="147" t="s">
        <v>175</v>
      </c>
      <c r="E802" s="147" t="s">
        <v>209</v>
      </c>
      <c r="F802" s="147"/>
      <c r="G802" s="155">
        <f>G803</f>
        <v>3123</v>
      </c>
    </row>
    <row r="803" spans="1:7" ht="24">
      <c r="A803" s="153" t="s">
        <v>205</v>
      </c>
      <c r="B803" s="210" t="s">
        <v>477</v>
      </c>
      <c r="C803" s="147" t="s">
        <v>436</v>
      </c>
      <c r="D803" s="147" t="s">
        <v>175</v>
      </c>
      <c r="E803" s="147" t="s">
        <v>210</v>
      </c>
      <c r="F803" s="147"/>
      <c r="G803" s="155">
        <f>G804+G806</f>
        <v>3123</v>
      </c>
    </row>
    <row r="804" spans="1:7" ht="24">
      <c r="A804" s="153" t="s">
        <v>1066</v>
      </c>
      <c r="B804" s="210" t="s">
        <v>477</v>
      </c>
      <c r="C804" s="147" t="s">
        <v>436</v>
      </c>
      <c r="D804" s="147" t="s">
        <v>175</v>
      </c>
      <c r="E804" s="147" t="s">
        <v>210</v>
      </c>
      <c r="F804" s="147" t="s">
        <v>529</v>
      </c>
      <c r="G804" s="155">
        <f>G805</f>
        <v>23</v>
      </c>
    </row>
    <row r="805" spans="1:7" ht="24">
      <c r="A805" s="153" t="s">
        <v>591</v>
      </c>
      <c r="B805" s="210" t="s">
        <v>477</v>
      </c>
      <c r="C805" s="147" t="s">
        <v>436</v>
      </c>
      <c r="D805" s="147" t="s">
        <v>175</v>
      </c>
      <c r="E805" s="147" t="s">
        <v>210</v>
      </c>
      <c r="F805" s="147" t="s">
        <v>429</v>
      </c>
      <c r="G805" s="158">
        <f>23</f>
        <v>23</v>
      </c>
    </row>
    <row r="806" spans="1:7" ht="24">
      <c r="A806" s="153" t="s">
        <v>985</v>
      </c>
      <c r="B806" s="210" t="s">
        <v>477</v>
      </c>
      <c r="C806" s="147" t="s">
        <v>436</v>
      </c>
      <c r="D806" s="147" t="s">
        <v>175</v>
      </c>
      <c r="E806" s="147" t="s">
        <v>210</v>
      </c>
      <c r="F806" s="147" t="s">
        <v>986</v>
      </c>
      <c r="G806" s="279">
        <f>G807</f>
        <v>3100</v>
      </c>
    </row>
    <row r="807" spans="1:7" ht="24">
      <c r="A807" s="157" t="s">
        <v>987</v>
      </c>
      <c r="B807" s="210" t="s">
        <v>477</v>
      </c>
      <c r="C807" s="147" t="s">
        <v>436</v>
      </c>
      <c r="D807" s="147" t="s">
        <v>175</v>
      </c>
      <c r="E807" s="147" t="s">
        <v>210</v>
      </c>
      <c r="F807" s="147" t="s">
        <v>988</v>
      </c>
      <c r="G807" s="158">
        <v>3100</v>
      </c>
    </row>
    <row r="808" spans="1:7" ht="24">
      <c r="A808" s="153" t="s">
        <v>1471</v>
      </c>
      <c r="B808" s="210" t="s">
        <v>477</v>
      </c>
      <c r="C808" s="147" t="s">
        <v>436</v>
      </c>
      <c r="D808" s="147" t="s">
        <v>175</v>
      </c>
      <c r="E808" s="147" t="s">
        <v>1470</v>
      </c>
      <c r="F808" s="147"/>
      <c r="G808" s="279">
        <f>G809</f>
        <v>25</v>
      </c>
    </row>
    <row r="809" spans="1:7" ht="24">
      <c r="A809" s="153" t="s">
        <v>1472</v>
      </c>
      <c r="B809" s="210" t="s">
        <v>477</v>
      </c>
      <c r="C809" s="147" t="s">
        <v>436</v>
      </c>
      <c r="D809" s="147" t="s">
        <v>175</v>
      </c>
      <c r="E809" s="147" t="s">
        <v>1475</v>
      </c>
      <c r="F809" s="147"/>
      <c r="G809" s="279">
        <f>G810</f>
        <v>25</v>
      </c>
    </row>
    <row r="810" spans="1:7" ht="24">
      <c r="A810" s="153" t="s">
        <v>1066</v>
      </c>
      <c r="B810" s="210" t="s">
        <v>477</v>
      </c>
      <c r="C810" s="147" t="s">
        <v>436</v>
      </c>
      <c r="D810" s="147" t="s">
        <v>175</v>
      </c>
      <c r="E810" s="147" t="s">
        <v>1475</v>
      </c>
      <c r="F810" s="147" t="s">
        <v>529</v>
      </c>
      <c r="G810" s="279">
        <f>G811</f>
        <v>25</v>
      </c>
    </row>
    <row r="811" spans="1:7" ht="18.75" customHeight="1">
      <c r="A811" s="153" t="s">
        <v>591</v>
      </c>
      <c r="B811" s="210" t="s">
        <v>477</v>
      </c>
      <c r="C811" s="147" t="s">
        <v>436</v>
      </c>
      <c r="D811" s="147" t="s">
        <v>175</v>
      </c>
      <c r="E811" s="147" t="s">
        <v>1475</v>
      </c>
      <c r="F811" s="147" t="s">
        <v>429</v>
      </c>
      <c r="G811" s="158">
        <v>25</v>
      </c>
    </row>
    <row r="812" spans="1:7" ht="36">
      <c r="A812" s="153" t="s">
        <v>1544</v>
      </c>
      <c r="B812" s="210" t="s">
        <v>477</v>
      </c>
      <c r="C812" s="147" t="s">
        <v>436</v>
      </c>
      <c r="D812" s="147" t="s">
        <v>175</v>
      </c>
      <c r="E812" s="147" t="s">
        <v>1473</v>
      </c>
      <c r="F812" s="147"/>
      <c r="G812" s="279">
        <f>G813</f>
        <v>16750.4</v>
      </c>
    </row>
    <row r="813" spans="1:7" ht="24">
      <c r="A813" s="15" t="s">
        <v>201</v>
      </c>
      <c r="B813" s="210" t="s">
        <v>477</v>
      </c>
      <c r="C813" s="147" t="s">
        <v>436</v>
      </c>
      <c r="D813" s="147" t="s">
        <v>175</v>
      </c>
      <c r="E813" s="147" t="s">
        <v>1474</v>
      </c>
      <c r="F813" s="147"/>
      <c r="G813" s="279">
        <f>G814</f>
        <v>16750.4</v>
      </c>
    </row>
    <row r="814" spans="1:7" ht="24">
      <c r="A814" s="153" t="s">
        <v>1066</v>
      </c>
      <c r="B814" s="210" t="s">
        <v>477</v>
      </c>
      <c r="C814" s="147" t="s">
        <v>436</v>
      </c>
      <c r="D814" s="147" t="s">
        <v>175</v>
      </c>
      <c r="E814" s="147" t="s">
        <v>1474</v>
      </c>
      <c r="F814" s="147" t="s">
        <v>529</v>
      </c>
      <c r="G814" s="279">
        <f>G815</f>
        <v>16750.4</v>
      </c>
    </row>
    <row r="815" spans="1:7" ht="24">
      <c r="A815" s="153" t="s">
        <v>591</v>
      </c>
      <c r="B815" s="210" t="s">
        <v>477</v>
      </c>
      <c r="C815" s="147" t="s">
        <v>436</v>
      </c>
      <c r="D815" s="147" t="s">
        <v>175</v>
      </c>
      <c r="E815" s="147" t="s">
        <v>1474</v>
      </c>
      <c r="F815" s="147" t="s">
        <v>429</v>
      </c>
      <c r="G815" s="158">
        <f>7214.4+1071+8465</f>
        <v>16750.4</v>
      </c>
    </row>
    <row r="816" spans="1:7" ht="48">
      <c r="A816" s="153" t="s">
        <v>1482</v>
      </c>
      <c r="B816" s="210" t="s">
        <v>477</v>
      </c>
      <c r="C816" s="147" t="s">
        <v>436</v>
      </c>
      <c r="D816" s="147" t="s">
        <v>175</v>
      </c>
      <c r="E816" s="147" t="s">
        <v>1476</v>
      </c>
      <c r="F816" s="147"/>
      <c r="G816" s="279">
        <f>G817</f>
        <v>30</v>
      </c>
    </row>
    <row r="817" spans="1:7" ht="24">
      <c r="A817" s="153" t="s">
        <v>1483</v>
      </c>
      <c r="B817" s="210" t="s">
        <v>477</v>
      </c>
      <c r="C817" s="147" t="s">
        <v>436</v>
      </c>
      <c r="D817" s="147" t="s">
        <v>175</v>
      </c>
      <c r="E817" s="147" t="s">
        <v>1477</v>
      </c>
      <c r="F817" s="147"/>
      <c r="G817" s="279">
        <f>G818</f>
        <v>30</v>
      </c>
    </row>
    <row r="818" spans="1:7" ht="24">
      <c r="A818" s="153" t="s">
        <v>1066</v>
      </c>
      <c r="B818" s="210" t="s">
        <v>477</v>
      </c>
      <c r="C818" s="147" t="s">
        <v>436</v>
      </c>
      <c r="D818" s="147" t="s">
        <v>175</v>
      </c>
      <c r="E818" s="147" t="s">
        <v>1477</v>
      </c>
      <c r="F818" s="147" t="s">
        <v>529</v>
      </c>
      <c r="G818" s="279">
        <f>G819</f>
        <v>30</v>
      </c>
    </row>
    <row r="819" spans="1:7" ht="24">
      <c r="A819" s="153" t="s">
        <v>591</v>
      </c>
      <c r="B819" s="210" t="s">
        <v>477</v>
      </c>
      <c r="C819" s="147" t="s">
        <v>436</v>
      </c>
      <c r="D819" s="147" t="s">
        <v>175</v>
      </c>
      <c r="E819" s="147" t="s">
        <v>1477</v>
      </c>
      <c r="F819" s="147" t="s">
        <v>429</v>
      </c>
      <c r="G819" s="158">
        <v>30</v>
      </c>
    </row>
    <row r="820" spans="1:7" ht="24">
      <c r="A820" s="153" t="s">
        <v>1484</v>
      </c>
      <c r="B820" s="210" t="s">
        <v>477</v>
      </c>
      <c r="C820" s="147" t="s">
        <v>436</v>
      </c>
      <c r="D820" s="147" t="s">
        <v>175</v>
      </c>
      <c r="E820" s="147" t="s">
        <v>1478</v>
      </c>
      <c r="F820" s="147"/>
      <c r="G820" s="279">
        <f>G821</f>
        <v>300</v>
      </c>
    </row>
    <row r="821" spans="1:7" ht="24">
      <c r="A821" s="153" t="s">
        <v>1485</v>
      </c>
      <c r="B821" s="210" t="s">
        <v>477</v>
      </c>
      <c r="C821" s="147" t="s">
        <v>436</v>
      </c>
      <c r="D821" s="147" t="s">
        <v>175</v>
      </c>
      <c r="E821" s="147" t="s">
        <v>1479</v>
      </c>
      <c r="F821" s="147"/>
      <c r="G821" s="279">
        <f>G822</f>
        <v>300</v>
      </c>
    </row>
    <row r="822" spans="1:7" ht="24">
      <c r="A822" s="153" t="s">
        <v>1066</v>
      </c>
      <c r="B822" s="210" t="s">
        <v>477</v>
      </c>
      <c r="C822" s="147" t="s">
        <v>436</v>
      </c>
      <c r="D822" s="147" t="s">
        <v>175</v>
      </c>
      <c r="E822" s="147" t="s">
        <v>1479</v>
      </c>
      <c r="F822" s="147" t="s">
        <v>529</v>
      </c>
      <c r="G822" s="279">
        <f>G823</f>
        <v>300</v>
      </c>
    </row>
    <row r="823" spans="1:7" ht="24">
      <c r="A823" s="153" t="s">
        <v>591</v>
      </c>
      <c r="B823" s="210" t="s">
        <v>477</v>
      </c>
      <c r="C823" s="147" t="s">
        <v>436</v>
      </c>
      <c r="D823" s="147" t="s">
        <v>175</v>
      </c>
      <c r="E823" s="147" t="s">
        <v>1479</v>
      </c>
      <c r="F823" s="147" t="s">
        <v>429</v>
      </c>
      <c r="G823" s="158">
        <v>300</v>
      </c>
    </row>
    <row r="824" spans="1:7" ht="24">
      <c r="A824" s="153" t="s">
        <v>1486</v>
      </c>
      <c r="B824" s="210" t="s">
        <v>477</v>
      </c>
      <c r="C824" s="147" t="s">
        <v>436</v>
      </c>
      <c r="D824" s="147" t="s">
        <v>175</v>
      </c>
      <c r="E824" s="147" t="s">
        <v>1480</v>
      </c>
      <c r="F824" s="147"/>
      <c r="G824" s="279">
        <f>G825</f>
        <v>25</v>
      </c>
    </row>
    <row r="825" spans="1:7" ht="24">
      <c r="A825" s="153" t="s">
        <v>1485</v>
      </c>
      <c r="B825" s="210" t="s">
        <v>477</v>
      </c>
      <c r="C825" s="147" t="s">
        <v>436</v>
      </c>
      <c r="D825" s="147" t="s">
        <v>175</v>
      </c>
      <c r="E825" s="147" t="s">
        <v>1481</v>
      </c>
      <c r="F825" s="147"/>
      <c r="G825" s="279">
        <f>G826</f>
        <v>25</v>
      </c>
    </row>
    <row r="826" spans="1:7" ht="39" customHeight="1">
      <c r="A826" s="153" t="s">
        <v>1066</v>
      </c>
      <c r="B826" s="210" t="s">
        <v>477</v>
      </c>
      <c r="C826" s="147" t="s">
        <v>436</v>
      </c>
      <c r="D826" s="147" t="s">
        <v>175</v>
      </c>
      <c r="E826" s="147" t="s">
        <v>1481</v>
      </c>
      <c r="F826" s="147" t="s">
        <v>529</v>
      </c>
      <c r="G826" s="279">
        <f>G827</f>
        <v>25</v>
      </c>
    </row>
    <row r="827" spans="1:7" ht="24">
      <c r="A827" s="153" t="s">
        <v>591</v>
      </c>
      <c r="B827" s="210" t="s">
        <v>477</v>
      </c>
      <c r="C827" s="147" t="s">
        <v>436</v>
      </c>
      <c r="D827" s="147" t="s">
        <v>175</v>
      </c>
      <c r="E827" s="147" t="s">
        <v>1481</v>
      </c>
      <c r="F827" s="147" t="s">
        <v>429</v>
      </c>
      <c r="G827" s="158">
        <v>25</v>
      </c>
    </row>
    <row r="828" spans="1:7" ht="15.75">
      <c r="A828" s="211" t="s">
        <v>939</v>
      </c>
      <c r="B828" s="210" t="s">
        <v>477</v>
      </c>
      <c r="C828" s="213" t="s">
        <v>936</v>
      </c>
      <c r="D828" s="213"/>
      <c r="E828" s="169"/>
      <c r="F828" s="147"/>
      <c r="G828" s="1">
        <f>G829+G836++G854+G885+G932</f>
        <v>577880.1</v>
      </c>
    </row>
    <row r="829" spans="1:7" ht="15.75">
      <c r="A829" s="156" t="s">
        <v>1776</v>
      </c>
      <c r="B829" s="210" t="s">
        <v>477</v>
      </c>
      <c r="C829" s="213" t="s">
        <v>936</v>
      </c>
      <c r="D829" s="213" t="s">
        <v>432</v>
      </c>
      <c r="E829" s="169"/>
      <c r="F829" s="147"/>
      <c r="G829" s="1">
        <f>G830</f>
        <v>2702</v>
      </c>
    </row>
    <row r="830" spans="1:7" ht="24">
      <c r="A830" s="164" t="s">
        <v>1350</v>
      </c>
      <c r="B830" s="210" t="s">
        <v>477</v>
      </c>
      <c r="C830" s="147" t="s">
        <v>936</v>
      </c>
      <c r="D830" s="147" t="s">
        <v>432</v>
      </c>
      <c r="E830" s="147" t="s">
        <v>41</v>
      </c>
      <c r="F830" s="169"/>
      <c r="G830" s="1">
        <f>G831</f>
        <v>2702</v>
      </c>
    </row>
    <row r="831" spans="1:7" ht="24">
      <c r="A831" s="330" t="s">
        <v>1784</v>
      </c>
      <c r="B831" s="210" t="s">
        <v>477</v>
      </c>
      <c r="C831" s="147" t="s">
        <v>936</v>
      </c>
      <c r="D831" s="147" t="s">
        <v>432</v>
      </c>
      <c r="E831" s="147" t="s">
        <v>1783</v>
      </c>
      <c r="F831" s="170"/>
      <c r="G831" s="155">
        <f>G834</f>
        <v>2702</v>
      </c>
    </row>
    <row r="832" spans="1:7" ht="48">
      <c r="A832" s="326" t="s">
        <v>1782</v>
      </c>
      <c r="B832" s="210" t="s">
        <v>477</v>
      </c>
      <c r="C832" s="147" t="s">
        <v>936</v>
      </c>
      <c r="D832" s="147" t="s">
        <v>432</v>
      </c>
      <c r="E832" s="147" t="s">
        <v>1785</v>
      </c>
      <c r="F832" s="170"/>
      <c r="G832" s="155">
        <f>G833</f>
        <v>2702</v>
      </c>
    </row>
    <row r="833" spans="1:7" ht="36">
      <c r="A833" s="153" t="s">
        <v>1659</v>
      </c>
      <c r="B833" s="210" t="s">
        <v>477</v>
      </c>
      <c r="C833" s="147" t="s">
        <v>936</v>
      </c>
      <c r="D833" s="147" t="s">
        <v>432</v>
      </c>
      <c r="E833" s="147" t="s">
        <v>1786</v>
      </c>
      <c r="F833" s="147"/>
      <c r="G833" s="325">
        <f>G834</f>
        <v>2702</v>
      </c>
    </row>
    <row r="834" spans="1:7" ht="24">
      <c r="A834" s="153" t="s">
        <v>1066</v>
      </c>
      <c r="B834" s="210" t="s">
        <v>477</v>
      </c>
      <c r="C834" s="147" t="s">
        <v>936</v>
      </c>
      <c r="D834" s="147" t="s">
        <v>432</v>
      </c>
      <c r="E834" s="147" t="s">
        <v>1786</v>
      </c>
      <c r="F834" s="147" t="s">
        <v>529</v>
      </c>
      <c r="G834" s="325">
        <f>G835</f>
        <v>2702</v>
      </c>
    </row>
    <row r="835" spans="1:7" ht="24">
      <c r="A835" s="153" t="s">
        <v>974</v>
      </c>
      <c r="B835" s="210" t="s">
        <v>477</v>
      </c>
      <c r="C835" s="147" t="s">
        <v>936</v>
      </c>
      <c r="D835" s="147" t="s">
        <v>432</v>
      </c>
      <c r="E835" s="147" t="s">
        <v>1786</v>
      </c>
      <c r="F835" s="147" t="s">
        <v>429</v>
      </c>
      <c r="G835" s="161">
        <v>2702</v>
      </c>
    </row>
    <row r="836" spans="1:7" ht="15">
      <c r="A836" s="156" t="s">
        <v>528</v>
      </c>
      <c r="B836" s="210" t="s">
        <v>477</v>
      </c>
      <c r="C836" s="147" t="s">
        <v>936</v>
      </c>
      <c r="D836" s="147" t="s">
        <v>1170</v>
      </c>
      <c r="E836" s="147"/>
      <c r="F836" s="147"/>
      <c r="G836" s="155">
        <f>G849+G837</f>
        <v>60645</v>
      </c>
    </row>
    <row r="837" spans="1:7" ht="24">
      <c r="A837" s="164" t="s">
        <v>1279</v>
      </c>
      <c r="B837" s="210" t="s">
        <v>477</v>
      </c>
      <c r="C837" s="147" t="s">
        <v>936</v>
      </c>
      <c r="D837" s="147" t="s">
        <v>1170</v>
      </c>
      <c r="E837" s="147" t="s">
        <v>137</v>
      </c>
      <c r="F837" s="147"/>
      <c r="G837" s="155">
        <f>G838</f>
        <v>600</v>
      </c>
    </row>
    <row r="838" spans="1:7" ht="24">
      <c r="A838" s="153" t="s">
        <v>1298</v>
      </c>
      <c r="B838" s="210" t="s">
        <v>477</v>
      </c>
      <c r="C838" s="147" t="s">
        <v>936</v>
      </c>
      <c r="D838" s="147" t="s">
        <v>1170</v>
      </c>
      <c r="E838" s="147" t="s">
        <v>243</v>
      </c>
      <c r="F838" s="147"/>
      <c r="G838" s="155">
        <f>G840+G843</f>
        <v>600</v>
      </c>
    </row>
    <row r="839" spans="1:7" ht="24">
      <c r="A839" s="153" t="s">
        <v>1489</v>
      </c>
      <c r="B839" s="210" t="s">
        <v>477</v>
      </c>
      <c r="C839" s="147" t="s">
        <v>936</v>
      </c>
      <c r="D839" s="147" t="s">
        <v>1170</v>
      </c>
      <c r="E839" s="147" t="s">
        <v>218</v>
      </c>
      <c r="F839" s="147"/>
      <c r="G839" s="155">
        <f>G840+G843</f>
        <v>600</v>
      </c>
    </row>
    <row r="840" spans="1:7" ht="36">
      <c r="A840" s="157" t="s">
        <v>663</v>
      </c>
      <c r="B840" s="210" t="s">
        <v>477</v>
      </c>
      <c r="C840" s="147" t="s">
        <v>936</v>
      </c>
      <c r="D840" s="147" t="s">
        <v>1170</v>
      </c>
      <c r="E840" s="147" t="s">
        <v>244</v>
      </c>
      <c r="F840" s="147"/>
      <c r="G840" s="155">
        <f>G841</f>
        <v>57</v>
      </c>
    </row>
    <row r="841" spans="1:7" ht="24">
      <c r="A841" s="153" t="s">
        <v>1066</v>
      </c>
      <c r="B841" s="210" t="s">
        <v>477</v>
      </c>
      <c r="C841" s="147" t="s">
        <v>936</v>
      </c>
      <c r="D841" s="147" t="s">
        <v>1170</v>
      </c>
      <c r="E841" s="147" t="s">
        <v>244</v>
      </c>
      <c r="F841" s="147" t="s">
        <v>529</v>
      </c>
      <c r="G841" s="155">
        <f>G842</f>
        <v>57</v>
      </c>
    </row>
    <row r="842" spans="1:7" ht="24">
      <c r="A842" s="153" t="s">
        <v>591</v>
      </c>
      <c r="B842" s="210" t="s">
        <v>477</v>
      </c>
      <c r="C842" s="147" t="s">
        <v>936</v>
      </c>
      <c r="D842" s="147" t="s">
        <v>1170</v>
      </c>
      <c r="E842" s="147" t="s">
        <v>244</v>
      </c>
      <c r="F842" s="147" t="s">
        <v>429</v>
      </c>
      <c r="G842" s="158">
        <f>57</f>
        <v>57</v>
      </c>
    </row>
    <row r="843" spans="1:7" ht="48">
      <c r="A843" s="157" t="s">
        <v>901</v>
      </c>
      <c r="B843" s="210" t="s">
        <v>477</v>
      </c>
      <c r="C843" s="147" t="s">
        <v>936</v>
      </c>
      <c r="D843" s="147" t="s">
        <v>1170</v>
      </c>
      <c r="E843" s="147" t="s">
        <v>245</v>
      </c>
      <c r="F843" s="147"/>
      <c r="G843" s="155">
        <f>G844</f>
        <v>543</v>
      </c>
    </row>
    <row r="844" spans="1:7" ht="24">
      <c r="A844" s="153" t="s">
        <v>1066</v>
      </c>
      <c r="B844" s="210" t="s">
        <v>477</v>
      </c>
      <c r="C844" s="147" t="s">
        <v>936</v>
      </c>
      <c r="D844" s="147" t="s">
        <v>1170</v>
      </c>
      <c r="E844" s="147" t="s">
        <v>245</v>
      </c>
      <c r="F844" s="147" t="s">
        <v>529</v>
      </c>
      <c r="G844" s="155">
        <f>G845</f>
        <v>543</v>
      </c>
    </row>
    <row r="845" spans="1:7" ht="24">
      <c r="A845" s="153" t="s">
        <v>974</v>
      </c>
      <c r="B845" s="210" t="s">
        <v>477</v>
      </c>
      <c r="C845" s="147" t="s">
        <v>936</v>
      </c>
      <c r="D845" s="147" t="s">
        <v>1170</v>
      </c>
      <c r="E845" s="147" t="s">
        <v>245</v>
      </c>
      <c r="F845" s="147" t="s">
        <v>429</v>
      </c>
      <c r="G845" s="158">
        <f>543</f>
        <v>543</v>
      </c>
    </row>
    <row r="846" spans="1:7" ht="36">
      <c r="A846" s="164" t="s">
        <v>1338</v>
      </c>
      <c r="B846" s="210" t="s">
        <v>477</v>
      </c>
      <c r="C846" s="147" t="s">
        <v>936</v>
      </c>
      <c r="D846" s="147" t="s">
        <v>1170</v>
      </c>
      <c r="E846" s="147" t="s">
        <v>212</v>
      </c>
      <c r="F846" s="147"/>
      <c r="G846" s="155">
        <f>G847</f>
        <v>60045</v>
      </c>
    </row>
    <row r="847" spans="1:7" ht="36">
      <c r="A847" s="152" t="s">
        <v>1300</v>
      </c>
      <c r="B847" s="210" t="s">
        <v>477</v>
      </c>
      <c r="C847" s="147" t="s">
        <v>936</v>
      </c>
      <c r="D847" s="147" t="s">
        <v>1170</v>
      </c>
      <c r="E847" s="147" t="s">
        <v>213</v>
      </c>
      <c r="F847" s="147"/>
      <c r="G847" s="155">
        <f>G849</f>
        <v>60045</v>
      </c>
    </row>
    <row r="848" spans="1:7" ht="36">
      <c r="A848" s="152" t="s">
        <v>211</v>
      </c>
      <c r="B848" s="210" t="s">
        <v>477</v>
      </c>
      <c r="C848" s="147" t="s">
        <v>936</v>
      </c>
      <c r="D848" s="147" t="s">
        <v>1170</v>
      </c>
      <c r="E848" s="147" t="s">
        <v>214</v>
      </c>
      <c r="F848" s="147"/>
      <c r="G848" s="155">
        <f>G849</f>
        <v>60045</v>
      </c>
    </row>
    <row r="849" spans="1:7" ht="48">
      <c r="A849" s="152" t="s">
        <v>215</v>
      </c>
      <c r="B849" s="210" t="s">
        <v>477</v>
      </c>
      <c r="C849" s="147" t="s">
        <v>936</v>
      </c>
      <c r="D849" s="147" t="s">
        <v>1170</v>
      </c>
      <c r="E849" s="147" t="s">
        <v>216</v>
      </c>
      <c r="F849" s="147"/>
      <c r="G849" s="155">
        <f>G850+G852</f>
        <v>60045</v>
      </c>
    </row>
    <row r="850" spans="1:7" ht="24">
      <c r="A850" s="153" t="s">
        <v>1066</v>
      </c>
      <c r="B850" s="210" t="s">
        <v>477</v>
      </c>
      <c r="C850" s="147" t="s">
        <v>936</v>
      </c>
      <c r="D850" s="147" t="s">
        <v>1170</v>
      </c>
      <c r="E850" s="147" t="s">
        <v>216</v>
      </c>
      <c r="F850" s="147" t="s">
        <v>529</v>
      </c>
      <c r="G850" s="155">
        <f>G851</f>
        <v>60045</v>
      </c>
    </row>
    <row r="851" spans="1:7" ht="24">
      <c r="A851" s="153" t="s">
        <v>591</v>
      </c>
      <c r="B851" s="210" t="s">
        <v>477</v>
      </c>
      <c r="C851" s="147" t="s">
        <v>936</v>
      </c>
      <c r="D851" s="147" t="s">
        <v>1170</v>
      </c>
      <c r="E851" s="147" t="s">
        <v>216</v>
      </c>
      <c r="F851" s="147" t="s">
        <v>429</v>
      </c>
      <c r="G851" s="158">
        <f>39087.1+3919.9+16938+100</f>
        <v>60045</v>
      </c>
    </row>
    <row r="852" spans="1:7" ht="24">
      <c r="A852" s="153" t="s">
        <v>985</v>
      </c>
      <c r="B852" s="210" t="s">
        <v>477</v>
      </c>
      <c r="C852" s="147" t="s">
        <v>936</v>
      </c>
      <c r="D852" s="147" t="s">
        <v>1170</v>
      </c>
      <c r="E852" s="147" t="s">
        <v>216</v>
      </c>
      <c r="F852" s="147" t="s">
        <v>986</v>
      </c>
      <c r="G852" s="155">
        <f>G853</f>
        <v>0</v>
      </c>
    </row>
    <row r="853" spans="1:7" ht="24">
      <c r="A853" s="152" t="s">
        <v>555</v>
      </c>
      <c r="B853" s="210" t="s">
        <v>477</v>
      </c>
      <c r="C853" s="147" t="s">
        <v>936</v>
      </c>
      <c r="D853" s="147" t="s">
        <v>1170</v>
      </c>
      <c r="E853" s="147" t="s">
        <v>216</v>
      </c>
      <c r="F853" s="147" t="s">
        <v>556</v>
      </c>
      <c r="G853" s="158">
        <f>7482.9-3919.9+272.2-3835.2</f>
        <v>0</v>
      </c>
    </row>
    <row r="854" spans="1:7" ht="15">
      <c r="A854" s="214" t="s">
        <v>1153</v>
      </c>
      <c r="B854" s="210" t="s">
        <v>477</v>
      </c>
      <c r="C854" s="147" t="s">
        <v>936</v>
      </c>
      <c r="D854" s="147" t="s">
        <v>435</v>
      </c>
      <c r="E854" s="147"/>
      <c r="F854" s="147"/>
      <c r="G854" s="155">
        <f>G855+G881</f>
        <v>453992.5</v>
      </c>
    </row>
    <row r="855" spans="1:7" ht="36">
      <c r="A855" s="164" t="s">
        <v>1301</v>
      </c>
      <c r="B855" s="210" t="s">
        <v>477</v>
      </c>
      <c r="C855" s="147" t="s">
        <v>936</v>
      </c>
      <c r="D855" s="147" t="s">
        <v>435</v>
      </c>
      <c r="E855" s="147" t="s">
        <v>212</v>
      </c>
      <c r="F855" s="147"/>
      <c r="G855" s="155">
        <f>G856+G861+G876</f>
        <v>450992.5</v>
      </c>
    </row>
    <row r="856" spans="1:7" ht="24">
      <c r="A856" s="15" t="s">
        <v>1302</v>
      </c>
      <c r="B856" s="210" t="s">
        <v>477</v>
      </c>
      <c r="C856" s="147" t="s">
        <v>936</v>
      </c>
      <c r="D856" s="147" t="s">
        <v>435</v>
      </c>
      <c r="E856" s="147" t="s">
        <v>246</v>
      </c>
      <c r="F856" s="147"/>
      <c r="G856" s="155">
        <f>G859</f>
        <v>30903</v>
      </c>
    </row>
    <row r="857" spans="1:7" ht="24">
      <c r="A857" s="15" t="s">
        <v>248</v>
      </c>
      <c r="B857" s="210" t="s">
        <v>477</v>
      </c>
      <c r="C857" s="147" t="s">
        <v>936</v>
      </c>
      <c r="D857" s="147" t="s">
        <v>435</v>
      </c>
      <c r="E857" s="147" t="s">
        <v>247</v>
      </c>
      <c r="F857" s="147"/>
      <c r="G857" s="155">
        <f>G858</f>
        <v>30903</v>
      </c>
    </row>
    <row r="858" spans="1:17" ht="24">
      <c r="A858" s="15" t="s">
        <v>249</v>
      </c>
      <c r="B858" s="210" t="s">
        <v>477</v>
      </c>
      <c r="C858" s="147" t="s">
        <v>936</v>
      </c>
      <c r="D858" s="147" t="s">
        <v>435</v>
      </c>
      <c r="E858" s="147" t="s">
        <v>250</v>
      </c>
      <c r="F858" s="147"/>
      <c r="G858" s="155">
        <f>G859</f>
        <v>30903</v>
      </c>
      <c r="J858" s="117"/>
      <c r="K858" s="117"/>
      <c r="L858" s="33"/>
      <c r="M858" s="33"/>
      <c r="N858" s="33"/>
      <c r="O858" s="33"/>
      <c r="P858" s="33"/>
      <c r="Q858" s="33"/>
    </row>
    <row r="859" spans="1:17" ht="24">
      <c r="A859" s="153" t="s">
        <v>1066</v>
      </c>
      <c r="B859" s="210" t="s">
        <v>477</v>
      </c>
      <c r="C859" s="147" t="s">
        <v>936</v>
      </c>
      <c r="D859" s="147" t="s">
        <v>435</v>
      </c>
      <c r="E859" s="147" t="s">
        <v>250</v>
      </c>
      <c r="F859" s="147" t="s">
        <v>529</v>
      </c>
      <c r="G859" s="155">
        <f>G860</f>
        <v>30903</v>
      </c>
      <c r="J859" s="117"/>
      <c r="K859" s="117"/>
      <c r="L859" s="33"/>
      <c r="M859" s="33"/>
      <c r="N859" s="33"/>
      <c r="O859" s="33"/>
      <c r="P859" s="33"/>
      <c r="Q859" s="33"/>
    </row>
    <row r="860" spans="1:17" ht="24">
      <c r="A860" s="153" t="s">
        <v>974</v>
      </c>
      <c r="B860" s="210" t="s">
        <v>477</v>
      </c>
      <c r="C860" s="147" t="s">
        <v>936</v>
      </c>
      <c r="D860" s="147" t="s">
        <v>435</v>
      </c>
      <c r="E860" s="147" t="s">
        <v>250</v>
      </c>
      <c r="F860" s="147" t="s">
        <v>429</v>
      </c>
      <c r="G860" s="158">
        <f>26000+1250+1223+330+2100</f>
        <v>30903</v>
      </c>
      <c r="J860" s="117"/>
      <c r="K860" s="117"/>
      <c r="L860" s="33"/>
      <c r="M860" s="33"/>
      <c r="N860" s="33"/>
      <c r="O860" s="33"/>
      <c r="P860" s="33"/>
      <c r="Q860" s="33"/>
    </row>
    <row r="861" spans="1:17" ht="36">
      <c r="A861" s="152" t="s">
        <v>1303</v>
      </c>
      <c r="B861" s="210" t="s">
        <v>477</v>
      </c>
      <c r="C861" s="147" t="s">
        <v>936</v>
      </c>
      <c r="D861" s="147" t="s">
        <v>435</v>
      </c>
      <c r="E861" s="147" t="s">
        <v>253</v>
      </c>
      <c r="F861" s="147"/>
      <c r="G861" s="155">
        <f>G862+G872</f>
        <v>409487.6</v>
      </c>
      <c r="J861" s="117"/>
      <c r="K861" s="117"/>
      <c r="L861" s="33"/>
      <c r="M861" s="33"/>
      <c r="N861" s="33"/>
      <c r="O861" s="33"/>
      <c r="P861" s="33"/>
      <c r="Q861" s="33"/>
    </row>
    <row r="862" spans="1:7" ht="24">
      <c r="A862" s="152" t="s">
        <v>251</v>
      </c>
      <c r="B862" s="210" t="s">
        <v>477</v>
      </c>
      <c r="C862" s="147" t="s">
        <v>936</v>
      </c>
      <c r="D862" s="147" t="s">
        <v>435</v>
      </c>
      <c r="E862" s="147" t="s">
        <v>254</v>
      </c>
      <c r="F862" s="147"/>
      <c r="G862" s="155">
        <f>G863+G866+G869</f>
        <v>286487.6</v>
      </c>
    </row>
    <row r="863" spans="1:7" ht="24">
      <c r="A863" s="152" t="s">
        <v>252</v>
      </c>
      <c r="B863" s="210" t="s">
        <v>477</v>
      </c>
      <c r="C863" s="147" t="s">
        <v>936</v>
      </c>
      <c r="D863" s="147" t="s">
        <v>435</v>
      </c>
      <c r="E863" s="147" t="s">
        <v>255</v>
      </c>
      <c r="F863" s="147"/>
      <c r="G863" s="155">
        <f>G864</f>
        <v>239391.6</v>
      </c>
    </row>
    <row r="864" spans="1:7" ht="24">
      <c r="A864" s="153" t="s">
        <v>1066</v>
      </c>
      <c r="B864" s="210" t="s">
        <v>477</v>
      </c>
      <c r="C864" s="147" t="s">
        <v>936</v>
      </c>
      <c r="D864" s="147" t="s">
        <v>435</v>
      </c>
      <c r="E864" s="147" t="s">
        <v>255</v>
      </c>
      <c r="F864" s="147" t="s">
        <v>529</v>
      </c>
      <c r="G864" s="155">
        <f>G865</f>
        <v>239391.6</v>
      </c>
    </row>
    <row r="865" spans="1:17" s="26" customFormat="1" ht="24">
      <c r="A865" s="153" t="s">
        <v>591</v>
      </c>
      <c r="B865" s="210" t="s">
        <v>477</v>
      </c>
      <c r="C865" s="147" t="s">
        <v>936</v>
      </c>
      <c r="D865" s="147" t="s">
        <v>435</v>
      </c>
      <c r="E865" s="147" t="s">
        <v>255</v>
      </c>
      <c r="F865" s="147" t="s">
        <v>429</v>
      </c>
      <c r="G865" s="158">
        <f>204638+4000-2152.4-500+2424+30982</f>
        <v>239391.6</v>
      </c>
      <c r="J865" s="63"/>
      <c r="K865" s="63"/>
      <c r="L865" s="30"/>
      <c r="M865" s="30"/>
      <c r="N865" s="30"/>
      <c r="O865" s="30"/>
      <c r="P865" s="30"/>
      <c r="Q865" s="30"/>
    </row>
    <row r="866" spans="1:7" ht="48">
      <c r="A866" s="157" t="s">
        <v>409</v>
      </c>
      <c r="B866" s="210" t="s">
        <v>477</v>
      </c>
      <c r="C866" s="147" t="s">
        <v>936</v>
      </c>
      <c r="D866" s="147" t="s">
        <v>435</v>
      </c>
      <c r="E866" s="147" t="s">
        <v>302</v>
      </c>
      <c r="F866" s="147"/>
      <c r="G866" s="279">
        <f>G867</f>
        <v>18608</v>
      </c>
    </row>
    <row r="867" spans="1:7" ht="24">
      <c r="A867" s="153" t="s">
        <v>1066</v>
      </c>
      <c r="B867" s="210" t="s">
        <v>477</v>
      </c>
      <c r="C867" s="147" t="s">
        <v>936</v>
      </c>
      <c r="D867" s="147" t="s">
        <v>435</v>
      </c>
      <c r="E867" s="147" t="s">
        <v>302</v>
      </c>
      <c r="F867" s="147" t="s">
        <v>529</v>
      </c>
      <c r="G867" s="279">
        <f>G868</f>
        <v>18608</v>
      </c>
    </row>
    <row r="868" spans="1:7" ht="19.5" customHeight="1">
      <c r="A868" s="153" t="s">
        <v>591</v>
      </c>
      <c r="B868" s="210" t="s">
        <v>477</v>
      </c>
      <c r="C868" s="147" t="s">
        <v>936</v>
      </c>
      <c r="D868" s="147" t="s">
        <v>435</v>
      </c>
      <c r="E868" s="147" t="s">
        <v>302</v>
      </c>
      <c r="F868" s="147" t="s">
        <v>429</v>
      </c>
      <c r="G868" s="158">
        <f>13108+5500</f>
        <v>18608</v>
      </c>
    </row>
    <row r="869" spans="1:7" ht="48">
      <c r="A869" s="153" t="s">
        <v>1639</v>
      </c>
      <c r="B869" s="210" t="s">
        <v>477</v>
      </c>
      <c r="C869" s="147" t="s">
        <v>936</v>
      </c>
      <c r="D869" s="147" t="s">
        <v>435</v>
      </c>
      <c r="E869" s="147" t="s">
        <v>1215</v>
      </c>
      <c r="F869" s="147"/>
      <c r="G869" s="279">
        <f>G870</f>
        <v>28488</v>
      </c>
    </row>
    <row r="870" spans="1:7" ht="24">
      <c r="A870" s="153" t="s">
        <v>1066</v>
      </c>
      <c r="B870" s="210" t="s">
        <v>477</v>
      </c>
      <c r="C870" s="147" t="s">
        <v>936</v>
      </c>
      <c r="D870" s="147" t="s">
        <v>435</v>
      </c>
      <c r="E870" s="147" t="s">
        <v>1215</v>
      </c>
      <c r="F870" s="147" t="s">
        <v>529</v>
      </c>
      <c r="G870" s="279">
        <f>G871</f>
        <v>28488</v>
      </c>
    </row>
    <row r="871" spans="1:7" ht="24">
      <c r="A871" s="153" t="s">
        <v>591</v>
      </c>
      <c r="B871" s="210" t="s">
        <v>477</v>
      </c>
      <c r="C871" s="147" t="s">
        <v>936</v>
      </c>
      <c r="D871" s="147" t="s">
        <v>435</v>
      </c>
      <c r="E871" s="147" t="s">
        <v>1215</v>
      </c>
      <c r="F871" s="147" t="s">
        <v>429</v>
      </c>
      <c r="G871" s="158">
        <f>19000+9488</f>
        <v>28488</v>
      </c>
    </row>
    <row r="872" spans="1:7" ht="24">
      <c r="A872" s="153" t="s">
        <v>256</v>
      </c>
      <c r="B872" s="210" t="s">
        <v>477</v>
      </c>
      <c r="C872" s="147" t="s">
        <v>936</v>
      </c>
      <c r="D872" s="147" t="s">
        <v>435</v>
      </c>
      <c r="E872" s="147" t="s">
        <v>258</v>
      </c>
      <c r="F872" s="147"/>
      <c r="G872" s="155">
        <f>G873</f>
        <v>123000</v>
      </c>
    </row>
    <row r="873" spans="1:7" ht="24">
      <c r="A873" s="153" t="s">
        <v>257</v>
      </c>
      <c r="B873" s="210" t="s">
        <v>477</v>
      </c>
      <c r="C873" s="147" t="s">
        <v>936</v>
      </c>
      <c r="D873" s="147" t="s">
        <v>435</v>
      </c>
      <c r="E873" s="147" t="s">
        <v>259</v>
      </c>
      <c r="F873" s="147"/>
      <c r="G873" s="155">
        <f>G874</f>
        <v>123000</v>
      </c>
    </row>
    <row r="874" spans="1:7" ht="24">
      <c r="A874" s="152" t="s">
        <v>490</v>
      </c>
      <c r="B874" s="210" t="s">
        <v>477</v>
      </c>
      <c r="C874" s="147" t="s">
        <v>936</v>
      </c>
      <c r="D874" s="147" t="s">
        <v>435</v>
      </c>
      <c r="E874" s="147" t="s">
        <v>259</v>
      </c>
      <c r="F874" s="147" t="s">
        <v>489</v>
      </c>
      <c r="G874" s="155">
        <f>G875</f>
        <v>123000</v>
      </c>
    </row>
    <row r="875" spans="1:7" ht="24">
      <c r="A875" s="157" t="s">
        <v>573</v>
      </c>
      <c r="B875" s="210" t="s">
        <v>477</v>
      </c>
      <c r="C875" s="147" t="s">
        <v>936</v>
      </c>
      <c r="D875" s="147" t="s">
        <v>435</v>
      </c>
      <c r="E875" s="147" t="s">
        <v>259</v>
      </c>
      <c r="F875" s="147" t="s">
        <v>574</v>
      </c>
      <c r="G875" s="158">
        <f>128500-500-5000</f>
        <v>123000</v>
      </c>
    </row>
    <row r="876" spans="1:7" ht="48">
      <c r="A876" s="157" t="s">
        <v>1304</v>
      </c>
      <c r="B876" s="210" t="s">
        <v>477</v>
      </c>
      <c r="C876" s="147" t="s">
        <v>936</v>
      </c>
      <c r="D876" s="147" t="s">
        <v>435</v>
      </c>
      <c r="E876" s="147" t="s">
        <v>267</v>
      </c>
      <c r="F876" s="147"/>
      <c r="G876" s="155">
        <f>G877</f>
        <v>10601.9</v>
      </c>
    </row>
    <row r="877" spans="1:7" ht="36">
      <c r="A877" s="157" t="s">
        <v>265</v>
      </c>
      <c r="B877" s="210" t="s">
        <v>477</v>
      </c>
      <c r="C877" s="147" t="s">
        <v>936</v>
      </c>
      <c r="D877" s="147" t="s">
        <v>435</v>
      </c>
      <c r="E877" s="147" t="s">
        <v>268</v>
      </c>
      <c r="F877" s="147"/>
      <c r="G877" s="155">
        <f>G878</f>
        <v>10601.9</v>
      </c>
    </row>
    <row r="878" spans="1:7" ht="24">
      <c r="A878" s="157" t="s">
        <v>266</v>
      </c>
      <c r="B878" s="210" t="s">
        <v>477</v>
      </c>
      <c r="C878" s="147" t="s">
        <v>936</v>
      </c>
      <c r="D878" s="147" t="s">
        <v>435</v>
      </c>
      <c r="E878" s="147" t="s">
        <v>1181</v>
      </c>
      <c r="F878" s="147"/>
      <c r="G878" s="155">
        <f>G879</f>
        <v>10601.9</v>
      </c>
    </row>
    <row r="879" spans="1:7" ht="24">
      <c r="A879" s="153" t="s">
        <v>1066</v>
      </c>
      <c r="B879" s="210" t="s">
        <v>477</v>
      </c>
      <c r="C879" s="147" t="s">
        <v>936</v>
      </c>
      <c r="D879" s="147" t="s">
        <v>435</v>
      </c>
      <c r="E879" s="147" t="s">
        <v>1181</v>
      </c>
      <c r="F879" s="147" t="s">
        <v>529</v>
      </c>
      <c r="G879" s="279">
        <f>G880</f>
        <v>10601.9</v>
      </c>
    </row>
    <row r="880" spans="1:7" ht="24">
      <c r="A880" s="153" t="s">
        <v>591</v>
      </c>
      <c r="B880" s="210" t="s">
        <v>477</v>
      </c>
      <c r="C880" s="147" t="s">
        <v>936</v>
      </c>
      <c r="D880" s="147" t="s">
        <v>435</v>
      </c>
      <c r="E880" s="147" t="s">
        <v>1181</v>
      </c>
      <c r="F880" s="147" t="s">
        <v>429</v>
      </c>
      <c r="G880" s="158">
        <f>8449.5+2152.4</f>
        <v>10601.9</v>
      </c>
    </row>
    <row r="881" spans="1:7" ht="24">
      <c r="A881" s="153" t="s">
        <v>1078</v>
      </c>
      <c r="B881" s="210" t="s">
        <v>477</v>
      </c>
      <c r="C881" s="147" t="s">
        <v>936</v>
      </c>
      <c r="D881" s="147" t="s">
        <v>435</v>
      </c>
      <c r="E881" s="147" t="s">
        <v>1079</v>
      </c>
      <c r="F881" s="147"/>
      <c r="G881" s="279">
        <f>G882</f>
        <v>3000</v>
      </c>
    </row>
    <row r="882" spans="1:7" ht="24">
      <c r="A882" s="153" t="s">
        <v>1066</v>
      </c>
      <c r="B882" s="210" t="s">
        <v>477</v>
      </c>
      <c r="C882" s="147" t="s">
        <v>936</v>
      </c>
      <c r="D882" s="147" t="s">
        <v>435</v>
      </c>
      <c r="E882" s="147" t="s">
        <v>1079</v>
      </c>
      <c r="F882" s="147" t="s">
        <v>529</v>
      </c>
      <c r="G882" s="279">
        <f>G883</f>
        <v>3000</v>
      </c>
    </row>
    <row r="883" spans="1:7" ht="24">
      <c r="A883" s="153" t="s">
        <v>591</v>
      </c>
      <c r="B883" s="210" t="s">
        <v>477</v>
      </c>
      <c r="C883" s="147" t="s">
        <v>936</v>
      </c>
      <c r="D883" s="147" t="s">
        <v>435</v>
      </c>
      <c r="E883" s="147" t="s">
        <v>1079</v>
      </c>
      <c r="F883" s="147" t="s">
        <v>429</v>
      </c>
      <c r="G883" s="279">
        <f>G884</f>
        <v>3000</v>
      </c>
    </row>
    <row r="884" spans="1:7" ht="36">
      <c r="A884" s="153" t="s">
        <v>1589</v>
      </c>
      <c r="B884" s="210" t="s">
        <v>477</v>
      </c>
      <c r="C884" s="147" t="s">
        <v>936</v>
      </c>
      <c r="D884" s="147" t="s">
        <v>435</v>
      </c>
      <c r="E884" s="147" t="s">
        <v>1079</v>
      </c>
      <c r="F884" s="147" t="s">
        <v>429</v>
      </c>
      <c r="G884" s="158">
        <v>3000</v>
      </c>
    </row>
    <row r="885" spans="1:7" ht="15">
      <c r="A885" s="156" t="s">
        <v>940</v>
      </c>
      <c r="B885" s="210" t="s">
        <v>477</v>
      </c>
      <c r="C885" s="147" t="s">
        <v>936</v>
      </c>
      <c r="D885" s="147" t="s">
        <v>433</v>
      </c>
      <c r="E885" s="147"/>
      <c r="F885" s="147"/>
      <c r="G885" s="155">
        <f>G886+G920</f>
        <v>48487.399999999994</v>
      </c>
    </row>
    <row r="886" spans="1:7" ht="24">
      <c r="A886" s="160" t="s">
        <v>1268</v>
      </c>
      <c r="B886" s="210" t="s">
        <v>477</v>
      </c>
      <c r="C886" s="147" t="s">
        <v>936</v>
      </c>
      <c r="D886" s="147" t="s">
        <v>433</v>
      </c>
      <c r="E886" s="147" t="s">
        <v>733</v>
      </c>
      <c r="F886" s="147"/>
      <c r="G886" s="155">
        <f>G887+G910</f>
        <v>25287.3</v>
      </c>
    </row>
    <row r="887" spans="1:7" ht="48">
      <c r="A887" s="152" t="s">
        <v>1495</v>
      </c>
      <c r="B887" s="210" t="s">
        <v>477</v>
      </c>
      <c r="C887" s="147" t="s">
        <v>936</v>
      </c>
      <c r="D887" s="147" t="s">
        <v>433</v>
      </c>
      <c r="E887" s="147" t="s">
        <v>382</v>
      </c>
      <c r="F887" s="147"/>
      <c r="G887" s="155">
        <f>G888+G894+G898+G902+G906</f>
        <v>21157.3</v>
      </c>
    </row>
    <row r="888" spans="1:7" ht="36">
      <c r="A888" s="152" t="s">
        <v>1630</v>
      </c>
      <c r="B888" s="210" t="s">
        <v>477</v>
      </c>
      <c r="C888" s="147" t="s">
        <v>936</v>
      </c>
      <c r="D888" s="147" t="s">
        <v>433</v>
      </c>
      <c r="E888" s="147" t="s">
        <v>383</v>
      </c>
      <c r="F888" s="147"/>
      <c r="G888" s="155">
        <f>G889</f>
        <v>17603.5</v>
      </c>
    </row>
    <row r="889" spans="1:7" ht="24">
      <c r="A889" s="254" t="s">
        <v>664</v>
      </c>
      <c r="B889" s="210" t="s">
        <v>477</v>
      </c>
      <c r="C889" s="147" t="s">
        <v>936</v>
      </c>
      <c r="D889" s="147" t="s">
        <v>433</v>
      </c>
      <c r="E889" s="147" t="s">
        <v>384</v>
      </c>
      <c r="F889" s="147"/>
      <c r="G889" s="155">
        <f>G890+G892</f>
        <v>17603.5</v>
      </c>
    </row>
    <row r="890" spans="1:7" ht="48">
      <c r="A890" s="153" t="s">
        <v>1065</v>
      </c>
      <c r="B890" s="210" t="s">
        <v>477</v>
      </c>
      <c r="C890" s="147" t="s">
        <v>936</v>
      </c>
      <c r="D890" s="147" t="s">
        <v>433</v>
      </c>
      <c r="E890" s="147" t="s">
        <v>384</v>
      </c>
      <c r="F890" s="147" t="s">
        <v>960</v>
      </c>
      <c r="G890" s="155">
        <f>G891</f>
        <v>7164.2</v>
      </c>
    </row>
    <row r="891" spans="1:7" ht="24">
      <c r="A891" s="152" t="s">
        <v>1165</v>
      </c>
      <c r="B891" s="210" t="s">
        <v>477</v>
      </c>
      <c r="C891" s="147" t="s">
        <v>936</v>
      </c>
      <c r="D891" s="147" t="s">
        <v>433</v>
      </c>
      <c r="E891" s="147" t="s">
        <v>384</v>
      </c>
      <c r="F891" s="147" t="s">
        <v>1166</v>
      </c>
      <c r="G891" s="158">
        <f>7474.9-310.7</f>
        <v>7164.2</v>
      </c>
    </row>
    <row r="892" spans="1:7" ht="24">
      <c r="A892" s="153" t="s">
        <v>1066</v>
      </c>
      <c r="B892" s="210" t="s">
        <v>477</v>
      </c>
      <c r="C892" s="147" t="s">
        <v>936</v>
      </c>
      <c r="D892" s="147" t="s">
        <v>433</v>
      </c>
      <c r="E892" s="147" t="s">
        <v>384</v>
      </c>
      <c r="F892" s="147" t="s">
        <v>529</v>
      </c>
      <c r="G892" s="155">
        <f>G893</f>
        <v>10439.3</v>
      </c>
    </row>
    <row r="893" spans="1:7" ht="24">
      <c r="A893" s="153" t="s">
        <v>974</v>
      </c>
      <c r="B893" s="210" t="s">
        <v>477</v>
      </c>
      <c r="C893" s="147" t="s">
        <v>936</v>
      </c>
      <c r="D893" s="147" t="s">
        <v>433</v>
      </c>
      <c r="E893" s="147" t="s">
        <v>384</v>
      </c>
      <c r="F893" s="147" t="s">
        <v>429</v>
      </c>
      <c r="G893" s="158">
        <f>8113.7-246.4+1850+142+430+150</f>
        <v>10439.3</v>
      </c>
    </row>
    <row r="894" spans="1:7" ht="48">
      <c r="A894" s="153" t="s">
        <v>1631</v>
      </c>
      <c r="B894" s="210" t="s">
        <v>477</v>
      </c>
      <c r="C894" s="147" t="s">
        <v>936</v>
      </c>
      <c r="D894" s="147" t="s">
        <v>433</v>
      </c>
      <c r="E894" s="147" t="s">
        <v>386</v>
      </c>
      <c r="F894" s="147"/>
      <c r="G894" s="155">
        <f>G895</f>
        <v>9.3</v>
      </c>
    </row>
    <row r="895" spans="1:7" ht="24">
      <c r="A895" s="254" t="s">
        <v>664</v>
      </c>
      <c r="B895" s="210" t="s">
        <v>477</v>
      </c>
      <c r="C895" s="147" t="s">
        <v>936</v>
      </c>
      <c r="D895" s="147" t="s">
        <v>433</v>
      </c>
      <c r="E895" s="147" t="s">
        <v>387</v>
      </c>
      <c r="F895" s="147"/>
      <c r="G895" s="155">
        <f>G896</f>
        <v>9.3</v>
      </c>
    </row>
    <row r="896" spans="1:7" ht="24">
      <c r="A896" s="153" t="s">
        <v>1066</v>
      </c>
      <c r="B896" s="210" t="s">
        <v>477</v>
      </c>
      <c r="C896" s="147" t="s">
        <v>936</v>
      </c>
      <c r="D896" s="147" t="s">
        <v>433</v>
      </c>
      <c r="E896" s="147" t="s">
        <v>387</v>
      </c>
      <c r="F896" s="147" t="s">
        <v>529</v>
      </c>
      <c r="G896" s="155">
        <f>G897</f>
        <v>9.3</v>
      </c>
    </row>
    <row r="897" spans="1:7" ht="24">
      <c r="A897" s="153" t="s">
        <v>974</v>
      </c>
      <c r="B897" s="210" t="s">
        <v>477</v>
      </c>
      <c r="C897" s="147" t="s">
        <v>936</v>
      </c>
      <c r="D897" s="147" t="s">
        <v>433</v>
      </c>
      <c r="E897" s="147" t="s">
        <v>387</v>
      </c>
      <c r="F897" s="147" t="s">
        <v>429</v>
      </c>
      <c r="G897" s="158">
        <v>9.3</v>
      </c>
    </row>
    <row r="898" spans="1:7" ht="48">
      <c r="A898" s="153" t="s">
        <v>1632</v>
      </c>
      <c r="B898" s="210" t="s">
        <v>477</v>
      </c>
      <c r="C898" s="147" t="s">
        <v>936</v>
      </c>
      <c r="D898" s="147" t="s">
        <v>433</v>
      </c>
      <c r="E898" s="147" t="s">
        <v>388</v>
      </c>
      <c r="F898" s="147"/>
      <c r="G898" s="155">
        <f>G899</f>
        <v>0</v>
      </c>
    </row>
    <row r="899" spans="1:7" ht="24">
      <c r="A899" s="254" t="s">
        <v>664</v>
      </c>
      <c r="B899" s="210" t="s">
        <v>477</v>
      </c>
      <c r="C899" s="147" t="s">
        <v>936</v>
      </c>
      <c r="D899" s="147" t="s">
        <v>433</v>
      </c>
      <c r="E899" s="147" t="s">
        <v>389</v>
      </c>
      <c r="F899" s="147"/>
      <c r="G899" s="155">
        <f>G900</f>
        <v>0</v>
      </c>
    </row>
    <row r="900" spans="1:7" ht="24">
      <c r="A900" s="153" t="s">
        <v>1066</v>
      </c>
      <c r="B900" s="210" t="s">
        <v>477</v>
      </c>
      <c r="C900" s="147" t="s">
        <v>936</v>
      </c>
      <c r="D900" s="147" t="s">
        <v>433</v>
      </c>
      <c r="E900" s="147" t="s">
        <v>389</v>
      </c>
      <c r="F900" s="147" t="s">
        <v>529</v>
      </c>
      <c r="G900" s="155">
        <f>G901</f>
        <v>0</v>
      </c>
    </row>
    <row r="901" spans="1:7" ht="24">
      <c r="A901" s="153" t="s">
        <v>974</v>
      </c>
      <c r="B901" s="210" t="s">
        <v>477</v>
      </c>
      <c r="C901" s="147" t="s">
        <v>936</v>
      </c>
      <c r="D901" s="147" t="s">
        <v>433</v>
      </c>
      <c r="E901" s="147" t="s">
        <v>389</v>
      </c>
      <c r="F901" s="147" t="s">
        <v>429</v>
      </c>
      <c r="G901" s="158">
        <f>552-552</f>
        <v>0</v>
      </c>
    </row>
    <row r="902" spans="1:7" ht="48">
      <c r="A902" s="152" t="s">
        <v>1634</v>
      </c>
      <c r="B902" s="210" t="s">
        <v>477</v>
      </c>
      <c r="C902" s="147" t="s">
        <v>936</v>
      </c>
      <c r="D902" s="147" t="s">
        <v>433</v>
      </c>
      <c r="E902" s="147" t="s">
        <v>745</v>
      </c>
      <c r="F902" s="147"/>
      <c r="G902" s="155">
        <f>G903</f>
        <v>3544.5</v>
      </c>
    </row>
    <row r="903" spans="1:7" ht="24">
      <c r="A903" s="254" t="s">
        <v>664</v>
      </c>
      <c r="B903" s="210" t="s">
        <v>477</v>
      </c>
      <c r="C903" s="147" t="s">
        <v>936</v>
      </c>
      <c r="D903" s="147" t="s">
        <v>433</v>
      </c>
      <c r="E903" s="147" t="s">
        <v>390</v>
      </c>
      <c r="F903" s="147"/>
      <c r="G903" s="155">
        <f>G904</f>
        <v>3544.5</v>
      </c>
    </row>
    <row r="904" spans="1:7" ht="24">
      <c r="A904" s="153" t="s">
        <v>1066</v>
      </c>
      <c r="B904" s="210" t="s">
        <v>477</v>
      </c>
      <c r="C904" s="147" t="s">
        <v>936</v>
      </c>
      <c r="D904" s="147" t="s">
        <v>433</v>
      </c>
      <c r="E904" s="147" t="s">
        <v>390</v>
      </c>
      <c r="F904" s="147" t="s">
        <v>529</v>
      </c>
      <c r="G904" s="155">
        <f>G905</f>
        <v>3544.5</v>
      </c>
    </row>
    <row r="905" spans="1:7" ht="24">
      <c r="A905" s="153" t="s">
        <v>974</v>
      </c>
      <c r="B905" s="210" t="s">
        <v>477</v>
      </c>
      <c r="C905" s="147" t="s">
        <v>936</v>
      </c>
      <c r="D905" s="147" t="s">
        <v>433</v>
      </c>
      <c r="E905" s="147" t="s">
        <v>390</v>
      </c>
      <c r="F905" s="147" t="s">
        <v>429</v>
      </c>
      <c r="G905" s="158">
        <f>2239.4+1305.1</f>
        <v>3544.5</v>
      </c>
    </row>
    <row r="906" spans="1:7" ht="36">
      <c r="A906" s="153" t="s">
        <v>1496</v>
      </c>
      <c r="B906" s="210" t="s">
        <v>477</v>
      </c>
      <c r="C906" s="147" t="s">
        <v>936</v>
      </c>
      <c r="D906" s="147" t="s">
        <v>433</v>
      </c>
      <c r="E906" s="147" t="s">
        <v>1110</v>
      </c>
      <c r="F906" s="147"/>
      <c r="G906" s="155">
        <f>G907</f>
        <v>0</v>
      </c>
    </row>
    <row r="907" spans="1:7" ht="24">
      <c r="A907" s="254" t="s">
        <v>664</v>
      </c>
      <c r="B907" s="210" t="s">
        <v>477</v>
      </c>
      <c r="C907" s="147" t="s">
        <v>936</v>
      </c>
      <c r="D907" s="147" t="s">
        <v>433</v>
      </c>
      <c r="E907" s="147" t="s">
        <v>1111</v>
      </c>
      <c r="F907" s="147"/>
      <c r="G907" s="155">
        <f>G908</f>
        <v>0</v>
      </c>
    </row>
    <row r="908" spans="1:7" ht="24">
      <c r="A908" s="153" t="s">
        <v>1066</v>
      </c>
      <c r="B908" s="210" t="s">
        <v>477</v>
      </c>
      <c r="C908" s="147" t="s">
        <v>936</v>
      </c>
      <c r="D908" s="147" t="s">
        <v>433</v>
      </c>
      <c r="E908" s="147" t="s">
        <v>1111</v>
      </c>
      <c r="F908" s="147" t="s">
        <v>529</v>
      </c>
      <c r="G908" s="155">
        <f>G909</f>
        <v>0</v>
      </c>
    </row>
    <row r="909" spans="1:7" ht="24">
      <c r="A909" s="153" t="s">
        <v>974</v>
      </c>
      <c r="B909" s="210" t="s">
        <v>477</v>
      </c>
      <c r="C909" s="147" t="s">
        <v>936</v>
      </c>
      <c r="D909" s="147" t="s">
        <v>433</v>
      </c>
      <c r="E909" s="147" t="s">
        <v>1111</v>
      </c>
      <c r="F909" s="147" t="s">
        <v>429</v>
      </c>
      <c r="G909" s="158">
        <f>520-520</f>
        <v>0</v>
      </c>
    </row>
    <row r="910" spans="1:7" ht="60">
      <c r="A910" s="159" t="s">
        <v>1635</v>
      </c>
      <c r="B910" s="210" t="s">
        <v>477</v>
      </c>
      <c r="C910" s="147" t="s">
        <v>936</v>
      </c>
      <c r="D910" s="147" t="s">
        <v>433</v>
      </c>
      <c r="E910" s="147" t="s">
        <v>144</v>
      </c>
      <c r="F910" s="147"/>
      <c r="G910" s="279">
        <f>G911</f>
        <v>4130</v>
      </c>
    </row>
    <row r="911" spans="1:7" ht="24">
      <c r="A911" s="159" t="s">
        <v>142</v>
      </c>
      <c r="B911" s="210" t="s">
        <v>477</v>
      </c>
      <c r="C911" s="147" t="s">
        <v>936</v>
      </c>
      <c r="D911" s="147" t="s">
        <v>433</v>
      </c>
      <c r="E911" s="147" t="s">
        <v>610</v>
      </c>
      <c r="F911" s="147"/>
      <c r="G911" s="279">
        <f>G912+G916</f>
        <v>4130</v>
      </c>
    </row>
    <row r="912" spans="1:7" ht="72">
      <c r="A912" s="153" t="s">
        <v>1647</v>
      </c>
      <c r="B912" s="210" t="s">
        <v>477</v>
      </c>
      <c r="C912" s="147" t="s">
        <v>936</v>
      </c>
      <c r="D912" s="147" t="s">
        <v>433</v>
      </c>
      <c r="E912" s="147" t="s">
        <v>1648</v>
      </c>
      <c r="F912" s="147"/>
      <c r="G912" s="279">
        <f>G913</f>
        <v>1503</v>
      </c>
    </row>
    <row r="913" spans="1:7" ht="24">
      <c r="A913" s="152" t="s">
        <v>490</v>
      </c>
      <c r="B913" s="210" t="s">
        <v>477</v>
      </c>
      <c r="C913" s="147" t="s">
        <v>936</v>
      </c>
      <c r="D913" s="147" t="s">
        <v>433</v>
      </c>
      <c r="E913" s="147" t="s">
        <v>1648</v>
      </c>
      <c r="F913" s="147" t="s">
        <v>489</v>
      </c>
      <c r="G913" s="279">
        <f>G914</f>
        <v>1503</v>
      </c>
    </row>
    <row r="914" spans="1:7" ht="24">
      <c r="A914" s="157" t="s">
        <v>491</v>
      </c>
      <c r="B914" s="210" t="s">
        <v>477</v>
      </c>
      <c r="C914" s="147" t="s">
        <v>936</v>
      </c>
      <c r="D914" s="147" t="s">
        <v>433</v>
      </c>
      <c r="E914" s="147" t="s">
        <v>1648</v>
      </c>
      <c r="F914" s="147" t="s">
        <v>574</v>
      </c>
      <c r="G914" s="279">
        <f>G915</f>
        <v>1503</v>
      </c>
    </row>
    <row r="915" spans="1:7" ht="60">
      <c r="A915" s="157" t="s">
        <v>1649</v>
      </c>
      <c r="B915" s="210" t="s">
        <v>477</v>
      </c>
      <c r="C915" s="147" t="s">
        <v>936</v>
      </c>
      <c r="D915" s="147" t="s">
        <v>433</v>
      </c>
      <c r="E915" s="147" t="s">
        <v>1648</v>
      </c>
      <c r="F915" s="147" t="s">
        <v>574</v>
      </c>
      <c r="G915" s="158">
        <v>1503</v>
      </c>
    </row>
    <row r="916" spans="1:7" ht="60">
      <c r="A916" s="153" t="s">
        <v>1650</v>
      </c>
      <c r="B916" s="210" t="s">
        <v>477</v>
      </c>
      <c r="C916" s="147" t="s">
        <v>936</v>
      </c>
      <c r="D916" s="147" t="s">
        <v>433</v>
      </c>
      <c r="E916" s="147" t="s">
        <v>1651</v>
      </c>
      <c r="F916" s="147"/>
      <c r="G916" s="279">
        <f>G917</f>
        <v>2627</v>
      </c>
    </row>
    <row r="917" spans="1:7" ht="24">
      <c r="A917" s="152" t="s">
        <v>490</v>
      </c>
      <c r="B917" s="210" t="s">
        <v>477</v>
      </c>
      <c r="C917" s="147" t="s">
        <v>936</v>
      </c>
      <c r="D917" s="147" t="s">
        <v>433</v>
      </c>
      <c r="E917" s="147" t="s">
        <v>1651</v>
      </c>
      <c r="F917" s="147" t="s">
        <v>489</v>
      </c>
      <c r="G917" s="279">
        <f>G918</f>
        <v>2627</v>
      </c>
    </row>
    <row r="918" spans="1:7" ht="24">
      <c r="A918" s="157" t="s">
        <v>491</v>
      </c>
      <c r="B918" s="210" t="s">
        <v>477</v>
      </c>
      <c r="C918" s="147" t="s">
        <v>936</v>
      </c>
      <c r="D918" s="147" t="s">
        <v>433</v>
      </c>
      <c r="E918" s="147" t="s">
        <v>1651</v>
      </c>
      <c r="F918" s="147" t="s">
        <v>574</v>
      </c>
      <c r="G918" s="279">
        <f>G919</f>
        <v>2627</v>
      </c>
    </row>
    <row r="919" spans="1:7" ht="48">
      <c r="A919" s="157" t="s">
        <v>1652</v>
      </c>
      <c r="B919" s="210" t="s">
        <v>477</v>
      </c>
      <c r="C919" s="147" t="s">
        <v>936</v>
      </c>
      <c r="D919" s="147" t="s">
        <v>433</v>
      </c>
      <c r="E919" s="147" t="s">
        <v>1651</v>
      </c>
      <c r="F919" s="147" t="s">
        <v>574</v>
      </c>
      <c r="G919" s="158">
        <v>2627</v>
      </c>
    </row>
    <row r="920" spans="1:7" ht="24">
      <c r="A920" s="164" t="s">
        <v>1305</v>
      </c>
      <c r="B920" s="210" t="s">
        <v>477</v>
      </c>
      <c r="C920" s="147" t="s">
        <v>936</v>
      </c>
      <c r="D920" s="147" t="s">
        <v>433</v>
      </c>
      <c r="E920" s="147" t="s">
        <v>469</v>
      </c>
      <c r="F920" s="147"/>
      <c r="G920" s="155">
        <f>G921+G928</f>
        <v>23200.1</v>
      </c>
    </row>
    <row r="921" spans="1:7" ht="36">
      <c r="A921" s="157" t="s">
        <v>1306</v>
      </c>
      <c r="B921" s="210" t="s">
        <v>477</v>
      </c>
      <c r="C921" s="147" t="s">
        <v>936</v>
      </c>
      <c r="D921" s="147" t="s">
        <v>433</v>
      </c>
      <c r="E921" s="147" t="s">
        <v>470</v>
      </c>
      <c r="F921" s="147"/>
      <c r="G921" s="155">
        <f>G922</f>
        <v>23200.1</v>
      </c>
    </row>
    <row r="922" spans="1:7" ht="24">
      <c r="A922" s="153" t="s">
        <v>840</v>
      </c>
      <c r="B922" s="210" t="s">
        <v>477</v>
      </c>
      <c r="C922" s="147" t="s">
        <v>936</v>
      </c>
      <c r="D922" s="147" t="s">
        <v>433</v>
      </c>
      <c r="E922" s="147" t="s">
        <v>471</v>
      </c>
      <c r="F922" s="147"/>
      <c r="G922" s="155">
        <f>G923</f>
        <v>23200.1</v>
      </c>
    </row>
    <row r="923" spans="1:7" ht="24">
      <c r="A923" s="153" t="s">
        <v>841</v>
      </c>
      <c r="B923" s="210" t="s">
        <v>477</v>
      </c>
      <c r="C923" s="147" t="s">
        <v>936</v>
      </c>
      <c r="D923" s="147" t="s">
        <v>433</v>
      </c>
      <c r="E923" s="147" t="s">
        <v>472</v>
      </c>
      <c r="F923" s="147"/>
      <c r="G923" s="155">
        <f>G924+G926</f>
        <v>23200.1</v>
      </c>
    </row>
    <row r="924" spans="1:7" ht="48">
      <c r="A924" s="153" t="s">
        <v>1065</v>
      </c>
      <c r="B924" s="210" t="s">
        <v>477</v>
      </c>
      <c r="C924" s="147" t="s">
        <v>936</v>
      </c>
      <c r="D924" s="147" t="s">
        <v>433</v>
      </c>
      <c r="E924" s="147" t="s">
        <v>472</v>
      </c>
      <c r="F924" s="147" t="s">
        <v>960</v>
      </c>
      <c r="G924" s="155">
        <f>G925</f>
        <v>22461.6</v>
      </c>
    </row>
    <row r="925" spans="1:7" ht="24">
      <c r="A925" s="152" t="s">
        <v>1165</v>
      </c>
      <c r="B925" s="210" t="s">
        <v>477</v>
      </c>
      <c r="C925" s="147" t="s">
        <v>936</v>
      </c>
      <c r="D925" s="147" t="s">
        <v>433</v>
      </c>
      <c r="E925" s="147" t="s">
        <v>472</v>
      </c>
      <c r="F925" s="147" t="s">
        <v>1166</v>
      </c>
      <c r="G925" s="158">
        <f>21820-749.9+1068.8+322.7</f>
        <v>22461.6</v>
      </c>
    </row>
    <row r="926" spans="1:7" ht="24">
      <c r="A926" s="153" t="s">
        <v>1066</v>
      </c>
      <c r="B926" s="210" t="s">
        <v>477</v>
      </c>
      <c r="C926" s="147" t="s">
        <v>936</v>
      </c>
      <c r="D926" s="147" t="s">
        <v>433</v>
      </c>
      <c r="E926" s="147" t="s">
        <v>472</v>
      </c>
      <c r="F926" s="147" t="s">
        <v>529</v>
      </c>
      <c r="G926" s="155">
        <f>G927</f>
        <v>738.5</v>
      </c>
    </row>
    <row r="927" spans="1:7" ht="24">
      <c r="A927" s="153" t="s">
        <v>974</v>
      </c>
      <c r="B927" s="210" t="s">
        <v>477</v>
      </c>
      <c r="C927" s="147" t="s">
        <v>936</v>
      </c>
      <c r="D927" s="147" t="s">
        <v>433</v>
      </c>
      <c r="E927" s="147" t="s">
        <v>472</v>
      </c>
      <c r="F927" s="147" t="s">
        <v>429</v>
      </c>
      <c r="G927" s="158">
        <f>200+280-30.5+289</f>
        <v>738.5</v>
      </c>
    </row>
    <row r="928" spans="1:7" ht="24">
      <c r="A928" s="162" t="s">
        <v>1590</v>
      </c>
      <c r="B928" s="210" t="s">
        <v>477</v>
      </c>
      <c r="C928" s="147" t="s">
        <v>936</v>
      </c>
      <c r="D928" s="147" t="s">
        <v>433</v>
      </c>
      <c r="E928" s="147" t="s">
        <v>830</v>
      </c>
      <c r="F928" s="147"/>
      <c r="G928" s="279">
        <f>G929</f>
        <v>0</v>
      </c>
    </row>
    <row r="929" spans="1:7" ht="24">
      <c r="A929" s="157" t="s">
        <v>831</v>
      </c>
      <c r="B929" s="210" t="s">
        <v>477</v>
      </c>
      <c r="C929" s="147" t="s">
        <v>936</v>
      </c>
      <c r="D929" s="147" t="s">
        <v>433</v>
      </c>
      <c r="E929" s="147" t="s">
        <v>832</v>
      </c>
      <c r="F929" s="147"/>
      <c r="G929" s="279">
        <f>G930</f>
        <v>0</v>
      </c>
    </row>
    <row r="930" spans="1:7" ht="24">
      <c r="A930" s="153" t="s">
        <v>1066</v>
      </c>
      <c r="B930" s="210" t="s">
        <v>477</v>
      </c>
      <c r="C930" s="147" t="s">
        <v>936</v>
      </c>
      <c r="D930" s="147" t="s">
        <v>433</v>
      </c>
      <c r="E930" s="147" t="s">
        <v>832</v>
      </c>
      <c r="F930" s="147" t="s">
        <v>529</v>
      </c>
      <c r="G930" s="279">
        <f>G931</f>
        <v>0</v>
      </c>
    </row>
    <row r="931" spans="1:7" ht="24">
      <c r="A931" s="153" t="s">
        <v>974</v>
      </c>
      <c r="B931" s="210" t="s">
        <v>477</v>
      </c>
      <c r="C931" s="147" t="s">
        <v>936</v>
      </c>
      <c r="D931" s="147" t="s">
        <v>433</v>
      </c>
      <c r="E931" s="147" t="s">
        <v>832</v>
      </c>
      <c r="F931" s="147" t="s">
        <v>429</v>
      </c>
      <c r="G931" s="158">
        <f>1500-1500</f>
        <v>0</v>
      </c>
    </row>
    <row r="932" spans="1:7" ht="15">
      <c r="A932" s="156" t="s">
        <v>566</v>
      </c>
      <c r="B932" s="210" t="s">
        <v>477</v>
      </c>
      <c r="C932" s="147" t="s">
        <v>936</v>
      </c>
      <c r="D932" s="147" t="s">
        <v>438</v>
      </c>
      <c r="E932" s="147"/>
      <c r="F932" s="170"/>
      <c r="G932" s="155">
        <f>G933+G943+G951+G965</f>
        <v>12053.2</v>
      </c>
    </row>
    <row r="933" spans="1:7" ht="24">
      <c r="A933" s="160" t="s">
        <v>1268</v>
      </c>
      <c r="B933" s="210" t="s">
        <v>477</v>
      </c>
      <c r="C933" s="147" t="s">
        <v>936</v>
      </c>
      <c r="D933" s="147" t="s">
        <v>438</v>
      </c>
      <c r="E933" s="147" t="s">
        <v>733</v>
      </c>
      <c r="F933" s="147"/>
      <c r="G933" s="155">
        <f>G934</f>
        <v>3055</v>
      </c>
    </row>
    <row r="934" spans="1:7" ht="72">
      <c r="A934" s="157" t="s">
        <v>1307</v>
      </c>
      <c r="B934" s="210" t="s">
        <v>477</v>
      </c>
      <c r="C934" s="147" t="s">
        <v>936</v>
      </c>
      <c r="D934" s="147" t="s">
        <v>438</v>
      </c>
      <c r="E934" s="147" t="s">
        <v>728</v>
      </c>
      <c r="F934" s="147"/>
      <c r="G934" s="155">
        <f>G935+G939</f>
        <v>3055</v>
      </c>
    </row>
    <row r="935" spans="1:7" ht="24">
      <c r="A935" s="157" t="s">
        <v>727</v>
      </c>
      <c r="B935" s="210" t="s">
        <v>477</v>
      </c>
      <c r="C935" s="147" t="s">
        <v>936</v>
      </c>
      <c r="D935" s="147" t="s">
        <v>438</v>
      </c>
      <c r="E935" s="147" t="s">
        <v>789</v>
      </c>
      <c r="F935" s="147"/>
      <c r="G935" s="155">
        <f>G936</f>
        <v>55</v>
      </c>
    </row>
    <row r="936" spans="1:7" ht="24">
      <c r="A936" s="15" t="s">
        <v>1057</v>
      </c>
      <c r="B936" s="210" t="s">
        <v>477</v>
      </c>
      <c r="C936" s="147" t="s">
        <v>936</v>
      </c>
      <c r="D936" s="147" t="s">
        <v>438</v>
      </c>
      <c r="E936" s="147" t="s">
        <v>1103</v>
      </c>
      <c r="F936" s="170"/>
      <c r="G936" s="155">
        <f>G937</f>
        <v>55</v>
      </c>
    </row>
    <row r="937" spans="1:7" ht="24">
      <c r="A937" s="153" t="s">
        <v>1066</v>
      </c>
      <c r="B937" s="210" t="s">
        <v>477</v>
      </c>
      <c r="C937" s="147" t="s">
        <v>936</v>
      </c>
      <c r="D937" s="147" t="s">
        <v>438</v>
      </c>
      <c r="E937" s="147" t="s">
        <v>1103</v>
      </c>
      <c r="F937" s="170" t="s">
        <v>529</v>
      </c>
      <c r="G937" s="155">
        <f>G938</f>
        <v>55</v>
      </c>
    </row>
    <row r="938" spans="1:7" ht="24">
      <c r="A938" s="153" t="s">
        <v>591</v>
      </c>
      <c r="B938" s="210" t="s">
        <v>477</v>
      </c>
      <c r="C938" s="147" t="s">
        <v>936</v>
      </c>
      <c r="D938" s="147" t="s">
        <v>438</v>
      </c>
      <c r="E938" s="147" t="s">
        <v>1103</v>
      </c>
      <c r="F938" s="170" t="s">
        <v>429</v>
      </c>
      <c r="G938" s="158">
        <f>125-70</f>
        <v>55</v>
      </c>
    </row>
    <row r="939" spans="1:7" ht="24">
      <c r="A939" s="153" t="s">
        <v>731</v>
      </c>
      <c r="B939" s="210" t="s">
        <v>477</v>
      </c>
      <c r="C939" s="147" t="s">
        <v>936</v>
      </c>
      <c r="D939" s="147" t="s">
        <v>438</v>
      </c>
      <c r="E939" s="147" t="s">
        <v>1179</v>
      </c>
      <c r="F939" s="170"/>
      <c r="G939" s="155">
        <f>G940</f>
        <v>3000</v>
      </c>
    </row>
    <row r="940" spans="1:7" ht="24">
      <c r="A940" s="15" t="s">
        <v>1057</v>
      </c>
      <c r="B940" s="210" t="s">
        <v>477</v>
      </c>
      <c r="C940" s="147" t="s">
        <v>936</v>
      </c>
      <c r="D940" s="147" t="s">
        <v>438</v>
      </c>
      <c r="E940" s="147" t="s">
        <v>1102</v>
      </c>
      <c r="F940" s="170"/>
      <c r="G940" s="155">
        <f>G941</f>
        <v>3000</v>
      </c>
    </row>
    <row r="941" spans="1:7" ht="24">
      <c r="A941" s="153" t="s">
        <v>1066</v>
      </c>
      <c r="B941" s="210" t="s">
        <v>477</v>
      </c>
      <c r="C941" s="147" t="s">
        <v>936</v>
      </c>
      <c r="D941" s="147" t="s">
        <v>438</v>
      </c>
      <c r="E941" s="147" t="s">
        <v>1102</v>
      </c>
      <c r="F941" s="170" t="s">
        <v>529</v>
      </c>
      <c r="G941" s="155">
        <f>G942</f>
        <v>3000</v>
      </c>
    </row>
    <row r="942" spans="1:7" ht="24">
      <c r="A942" s="153" t="s">
        <v>591</v>
      </c>
      <c r="B942" s="210" t="s">
        <v>477</v>
      </c>
      <c r="C942" s="147" t="s">
        <v>936</v>
      </c>
      <c r="D942" s="147" t="s">
        <v>438</v>
      </c>
      <c r="E942" s="147" t="s">
        <v>1102</v>
      </c>
      <c r="F942" s="170" t="s">
        <v>429</v>
      </c>
      <c r="G942" s="158">
        <f>3000+2424-2424</f>
        <v>3000</v>
      </c>
    </row>
    <row r="943" spans="1:7" ht="24">
      <c r="A943" s="171" t="s">
        <v>1308</v>
      </c>
      <c r="B943" s="210" t="s">
        <v>477</v>
      </c>
      <c r="C943" s="147" t="s">
        <v>936</v>
      </c>
      <c r="D943" s="147" t="s">
        <v>438</v>
      </c>
      <c r="E943" s="147" t="s">
        <v>270</v>
      </c>
      <c r="F943" s="170"/>
      <c r="G943" s="155">
        <f>G944</f>
        <v>4498.2</v>
      </c>
    </row>
    <row r="944" spans="1:7" ht="24">
      <c r="A944" s="153" t="s">
        <v>1309</v>
      </c>
      <c r="B944" s="210" t="s">
        <v>477</v>
      </c>
      <c r="C944" s="147" t="s">
        <v>936</v>
      </c>
      <c r="D944" s="147" t="s">
        <v>438</v>
      </c>
      <c r="E944" s="147" t="s">
        <v>271</v>
      </c>
      <c r="F944" s="170"/>
      <c r="G944" s="155">
        <f>G946</f>
        <v>4498.2</v>
      </c>
    </row>
    <row r="945" spans="1:7" ht="24">
      <c r="A945" s="153" t="s">
        <v>579</v>
      </c>
      <c r="B945" s="210" t="s">
        <v>477</v>
      </c>
      <c r="C945" s="147" t="s">
        <v>936</v>
      </c>
      <c r="D945" s="147" t="s">
        <v>438</v>
      </c>
      <c r="E945" s="147" t="s">
        <v>272</v>
      </c>
      <c r="F945" s="170"/>
      <c r="G945" s="155">
        <f>G946</f>
        <v>4498.2</v>
      </c>
    </row>
    <row r="946" spans="1:7" ht="36">
      <c r="A946" s="152" t="s">
        <v>269</v>
      </c>
      <c r="B946" s="210" t="s">
        <v>477</v>
      </c>
      <c r="C946" s="147" t="s">
        <v>936</v>
      </c>
      <c r="D946" s="147" t="s">
        <v>438</v>
      </c>
      <c r="E946" s="147" t="s">
        <v>273</v>
      </c>
      <c r="F946" s="170"/>
      <c r="G946" s="155">
        <f>G947</f>
        <v>4498.2</v>
      </c>
    </row>
    <row r="947" spans="1:7" ht="24">
      <c r="A947" s="153" t="s">
        <v>1066</v>
      </c>
      <c r="B947" s="210" t="s">
        <v>477</v>
      </c>
      <c r="C947" s="147" t="s">
        <v>936</v>
      </c>
      <c r="D947" s="147" t="s">
        <v>438</v>
      </c>
      <c r="E947" s="147" t="s">
        <v>273</v>
      </c>
      <c r="F947" s="170" t="s">
        <v>529</v>
      </c>
      <c r="G947" s="155">
        <f>G948</f>
        <v>4498.2</v>
      </c>
    </row>
    <row r="948" spans="1:7" ht="24">
      <c r="A948" s="153" t="s">
        <v>591</v>
      </c>
      <c r="B948" s="210" t="s">
        <v>477</v>
      </c>
      <c r="C948" s="147" t="s">
        <v>936</v>
      </c>
      <c r="D948" s="147" t="s">
        <v>438</v>
      </c>
      <c r="E948" s="147" t="s">
        <v>273</v>
      </c>
      <c r="F948" s="147" t="s">
        <v>429</v>
      </c>
      <c r="G948" s="158">
        <v>4498.2</v>
      </c>
    </row>
    <row r="949" spans="1:7" ht="24">
      <c r="A949" s="152" t="s">
        <v>490</v>
      </c>
      <c r="B949" s="210" t="s">
        <v>477</v>
      </c>
      <c r="C949" s="147" t="s">
        <v>936</v>
      </c>
      <c r="D949" s="147" t="s">
        <v>438</v>
      </c>
      <c r="E949" s="147" t="s">
        <v>273</v>
      </c>
      <c r="F949" s="170" t="s">
        <v>489</v>
      </c>
      <c r="G949" s="155">
        <f>G950</f>
        <v>0</v>
      </c>
    </row>
    <row r="950" spans="1:7" ht="24">
      <c r="A950" s="157" t="s">
        <v>371</v>
      </c>
      <c r="B950" s="210" t="s">
        <v>477</v>
      </c>
      <c r="C950" s="147" t="s">
        <v>936</v>
      </c>
      <c r="D950" s="147" t="s">
        <v>438</v>
      </c>
      <c r="E950" s="147" t="s">
        <v>273</v>
      </c>
      <c r="F950" s="147" t="s">
        <v>574</v>
      </c>
      <c r="G950" s="158">
        <v>0</v>
      </c>
    </row>
    <row r="951" spans="1:7" ht="24">
      <c r="A951" s="164" t="s">
        <v>1279</v>
      </c>
      <c r="B951" s="210" t="s">
        <v>477</v>
      </c>
      <c r="C951" s="147" t="s">
        <v>936</v>
      </c>
      <c r="D951" s="147" t="s">
        <v>438</v>
      </c>
      <c r="E951" s="147" t="s">
        <v>137</v>
      </c>
      <c r="F951" s="147"/>
      <c r="G951" s="155">
        <f>G952</f>
        <v>2500</v>
      </c>
    </row>
    <row r="952" spans="1:7" ht="24">
      <c r="A952" s="152" t="s">
        <v>1310</v>
      </c>
      <c r="B952" s="210" t="s">
        <v>477</v>
      </c>
      <c r="C952" s="147" t="s">
        <v>936</v>
      </c>
      <c r="D952" s="147" t="s">
        <v>438</v>
      </c>
      <c r="E952" s="147" t="s">
        <v>274</v>
      </c>
      <c r="F952" s="147"/>
      <c r="G952" s="155">
        <f>G955+G958+G960</f>
        <v>2500</v>
      </c>
    </row>
    <row r="953" spans="1:7" ht="24">
      <c r="A953" s="152" t="s">
        <v>1490</v>
      </c>
      <c r="B953" s="210" t="s">
        <v>477</v>
      </c>
      <c r="C953" s="147" t="s">
        <v>936</v>
      </c>
      <c r="D953" s="147" t="s">
        <v>438</v>
      </c>
      <c r="E953" s="147" t="s">
        <v>617</v>
      </c>
      <c r="F953" s="147"/>
      <c r="G953" s="155">
        <f>G954+G957</f>
        <v>2350</v>
      </c>
    </row>
    <row r="954" spans="1:7" ht="36">
      <c r="A954" s="157" t="s">
        <v>294</v>
      </c>
      <c r="B954" s="210" t="s">
        <v>477</v>
      </c>
      <c r="C954" s="147" t="s">
        <v>936</v>
      </c>
      <c r="D954" s="147" t="s">
        <v>438</v>
      </c>
      <c r="E954" s="147" t="s">
        <v>618</v>
      </c>
      <c r="F954" s="147"/>
      <c r="G954" s="155">
        <f>G955</f>
        <v>1850</v>
      </c>
    </row>
    <row r="955" spans="1:7" ht="24">
      <c r="A955" s="153" t="s">
        <v>985</v>
      </c>
      <c r="B955" s="210" t="s">
        <v>477</v>
      </c>
      <c r="C955" s="147" t="s">
        <v>936</v>
      </c>
      <c r="D955" s="147" t="s">
        <v>438</v>
      </c>
      <c r="E955" s="147" t="s">
        <v>618</v>
      </c>
      <c r="F955" s="147" t="s">
        <v>986</v>
      </c>
      <c r="G955" s="155">
        <f>G956</f>
        <v>1850</v>
      </c>
    </row>
    <row r="956" spans="1:7" ht="24">
      <c r="A956" s="152" t="s">
        <v>555</v>
      </c>
      <c r="B956" s="210" t="s">
        <v>477</v>
      </c>
      <c r="C956" s="147" t="s">
        <v>936</v>
      </c>
      <c r="D956" s="147" t="s">
        <v>438</v>
      </c>
      <c r="E956" s="147" t="s">
        <v>618</v>
      </c>
      <c r="F956" s="147" t="s">
        <v>556</v>
      </c>
      <c r="G956" s="158">
        <f>500+1350</f>
        <v>1850</v>
      </c>
    </row>
    <row r="957" spans="1:7" ht="48">
      <c r="A957" s="157" t="s">
        <v>1140</v>
      </c>
      <c r="B957" s="210" t="s">
        <v>477</v>
      </c>
      <c r="C957" s="147" t="s">
        <v>936</v>
      </c>
      <c r="D957" s="147" t="s">
        <v>438</v>
      </c>
      <c r="E957" s="147" t="s">
        <v>619</v>
      </c>
      <c r="F957" s="147"/>
      <c r="G957" s="155">
        <f>G958</f>
        <v>500</v>
      </c>
    </row>
    <row r="958" spans="1:7" ht="24">
      <c r="A958" s="153" t="s">
        <v>985</v>
      </c>
      <c r="B958" s="210" t="s">
        <v>477</v>
      </c>
      <c r="C958" s="147" t="s">
        <v>936</v>
      </c>
      <c r="D958" s="147" t="s">
        <v>438</v>
      </c>
      <c r="E958" s="147" t="s">
        <v>619</v>
      </c>
      <c r="F958" s="147" t="s">
        <v>986</v>
      </c>
      <c r="G958" s="155">
        <f>G959</f>
        <v>500</v>
      </c>
    </row>
    <row r="959" spans="1:7" ht="24">
      <c r="A959" s="152" t="s">
        <v>555</v>
      </c>
      <c r="B959" s="210" t="s">
        <v>477</v>
      </c>
      <c r="C959" s="147" t="s">
        <v>936</v>
      </c>
      <c r="D959" s="147" t="s">
        <v>438</v>
      </c>
      <c r="E959" s="147" t="s">
        <v>619</v>
      </c>
      <c r="F959" s="147" t="s">
        <v>556</v>
      </c>
      <c r="G959" s="158">
        <v>500</v>
      </c>
    </row>
    <row r="960" spans="1:7" ht="24">
      <c r="A960" s="152" t="s">
        <v>1219</v>
      </c>
      <c r="B960" s="210" t="s">
        <v>477</v>
      </c>
      <c r="C960" s="147" t="s">
        <v>936</v>
      </c>
      <c r="D960" s="147" t="s">
        <v>438</v>
      </c>
      <c r="E960" s="147" t="s">
        <v>1220</v>
      </c>
      <c r="F960" s="147"/>
      <c r="G960" s="279">
        <f>G961</f>
        <v>150</v>
      </c>
    </row>
    <row r="961" spans="1:7" ht="24">
      <c r="A961" s="152" t="s">
        <v>1591</v>
      </c>
      <c r="B961" s="210" t="s">
        <v>477</v>
      </c>
      <c r="C961" s="147" t="s">
        <v>936</v>
      </c>
      <c r="D961" s="147" t="s">
        <v>438</v>
      </c>
      <c r="E961" s="147" t="s">
        <v>1592</v>
      </c>
      <c r="F961" s="147"/>
      <c r="G961" s="279">
        <f>G962</f>
        <v>150</v>
      </c>
    </row>
    <row r="962" spans="1:7" ht="24">
      <c r="A962" s="152" t="s">
        <v>1066</v>
      </c>
      <c r="B962" s="210" t="s">
        <v>477</v>
      </c>
      <c r="C962" s="147" t="s">
        <v>936</v>
      </c>
      <c r="D962" s="147" t="s">
        <v>438</v>
      </c>
      <c r="E962" s="147" t="s">
        <v>1592</v>
      </c>
      <c r="F962" s="147" t="s">
        <v>529</v>
      </c>
      <c r="G962" s="279">
        <f>G963</f>
        <v>150</v>
      </c>
    </row>
    <row r="963" spans="1:7" ht="24">
      <c r="A963" s="153" t="s">
        <v>974</v>
      </c>
      <c r="B963" s="210" t="s">
        <v>477</v>
      </c>
      <c r="C963" s="147" t="s">
        <v>936</v>
      </c>
      <c r="D963" s="147" t="s">
        <v>438</v>
      </c>
      <c r="E963" s="147" t="s">
        <v>1592</v>
      </c>
      <c r="F963" s="147" t="s">
        <v>429</v>
      </c>
      <c r="G963" s="158">
        <v>150</v>
      </c>
    </row>
    <row r="964" spans="1:7" ht="24">
      <c r="A964" s="164" t="s">
        <v>1305</v>
      </c>
      <c r="B964" s="210" t="s">
        <v>477</v>
      </c>
      <c r="C964" s="147" t="s">
        <v>936</v>
      </c>
      <c r="D964" s="147" t="s">
        <v>438</v>
      </c>
      <c r="E964" s="147" t="s">
        <v>469</v>
      </c>
      <c r="F964" s="147"/>
      <c r="G964" s="279">
        <f>G965</f>
        <v>2000</v>
      </c>
    </row>
    <row r="965" spans="1:7" ht="36">
      <c r="A965" s="157" t="s">
        <v>1306</v>
      </c>
      <c r="B965" s="210" t="s">
        <v>477</v>
      </c>
      <c r="C965" s="147" t="s">
        <v>936</v>
      </c>
      <c r="D965" s="147" t="s">
        <v>438</v>
      </c>
      <c r="E965" s="147" t="s">
        <v>470</v>
      </c>
      <c r="F965" s="147"/>
      <c r="G965" s="279">
        <f>G966</f>
        <v>2000</v>
      </c>
    </row>
    <row r="966" spans="1:7" ht="36">
      <c r="A966" s="162" t="s">
        <v>829</v>
      </c>
      <c r="B966" s="210" t="s">
        <v>477</v>
      </c>
      <c r="C966" s="147" t="s">
        <v>936</v>
      </c>
      <c r="D966" s="147" t="s">
        <v>438</v>
      </c>
      <c r="E966" s="147" t="s">
        <v>830</v>
      </c>
      <c r="F966" s="147"/>
      <c r="G966" s="279">
        <f>G967</f>
        <v>2000</v>
      </c>
    </row>
    <row r="967" spans="1:7" ht="24">
      <c r="A967" s="157" t="s">
        <v>831</v>
      </c>
      <c r="B967" s="210" t="s">
        <v>477</v>
      </c>
      <c r="C967" s="147" t="s">
        <v>936</v>
      </c>
      <c r="D967" s="147" t="s">
        <v>438</v>
      </c>
      <c r="E967" s="147" t="s">
        <v>832</v>
      </c>
      <c r="F967" s="147"/>
      <c r="G967" s="279">
        <f>G968</f>
        <v>2000</v>
      </c>
    </row>
    <row r="968" spans="1:7" ht="24">
      <c r="A968" s="153" t="s">
        <v>1066</v>
      </c>
      <c r="B968" s="210" t="s">
        <v>477</v>
      </c>
      <c r="C968" s="147" t="s">
        <v>936</v>
      </c>
      <c r="D968" s="147" t="s">
        <v>438</v>
      </c>
      <c r="E968" s="147" t="s">
        <v>832</v>
      </c>
      <c r="F968" s="147" t="s">
        <v>529</v>
      </c>
      <c r="G968" s="279">
        <f>G969</f>
        <v>2000</v>
      </c>
    </row>
    <row r="969" spans="1:7" ht="24">
      <c r="A969" s="153" t="s">
        <v>974</v>
      </c>
      <c r="B969" s="210" t="s">
        <v>477</v>
      </c>
      <c r="C969" s="147" t="s">
        <v>936</v>
      </c>
      <c r="D969" s="147" t="s">
        <v>438</v>
      </c>
      <c r="E969" s="147" t="s">
        <v>832</v>
      </c>
      <c r="F969" s="147" t="s">
        <v>429</v>
      </c>
      <c r="G969" s="158">
        <f>1500+500</f>
        <v>2000</v>
      </c>
    </row>
    <row r="970" spans="1:7" ht="15.75">
      <c r="A970" s="211" t="s">
        <v>437</v>
      </c>
      <c r="B970" s="210" t="s">
        <v>477</v>
      </c>
      <c r="C970" s="147" t="s">
        <v>432</v>
      </c>
      <c r="D970" s="147"/>
      <c r="E970" s="147"/>
      <c r="F970" s="170"/>
      <c r="G970" s="148">
        <f>G971+G997+G1026</f>
        <v>1127869.2</v>
      </c>
    </row>
    <row r="971" spans="1:7" ht="15">
      <c r="A971" s="156" t="s">
        <v>1118</v>
      </c>
      <c r="B971" s="210" t="s">
        <v>477</v>
      </c>
      <c r="C971" s="170" t="s">
        <v>432</v>
      </c>
      <c r="D971" s="170" t="s">
        <v>1145</v>
      </c>
      <c r="E971" s="170" t="s">
        <v>270</v>
      </c>
      <c r="F971" s="170"/>
      <c r="G971" s="155">
        <f>G972+G991</f>
        <v>256219.4</v>
      </c>
    </row>
    <row r="972" spans="1:7" ht="24">
      <c r="A972" s="171" t="s">
        <v>1308</v>
      </c>
      <c r="B972" s="210" t="s">
        <v>477</v>
      </c>
      <c r="C972" s="170" t="s">
        <v>432</v>
      </c>
      <c r="D972" s="170" t="s">
        <v>1145</v>
      </c>
      <c r="E972" s="170" t="s">
        <v>846</v>
      </c>
      <c r="F972" s="170"/>
      <c r="G972" s="155">
        <f>G973</f>
        <v>244571.4</v>
      </c>
    </row>
    <row r="973" spans="1:7" ht="60">
      <c r="A973" s="152" t="s">
        <v>1311</v>
      </c>
      <c r="B973" s="210" t="s">
        <v>477</v>
      </c>
      <c r="C973" s="170" t="s">
        <v>432</v>
      </c>
      <c r="D973" s="170" t="s">
        <v>1145</v>
      </c>
      <c r="E973" s="170" t="s">
        <v>846</v>
      </c>
      <c r="F973" s="170"/>
      <c r="G973" s="155">
        <f>G974+G987</f>
        <v>244571.4</v>
      </c>
    </row>
    <row r="974" spans="1:7" ht="24">
      <c r="A974" s="152" t="s">
        <v>845</v>
      </c>
      <c r="B974" s="210" t="s">
        <v>477</v>
      </c>
      <c r="C974" s="170" t="s">
        <v>432</v>
      </c>
      <c r="D974" s="170" t="s">
        <v>1145</v>
      </c>
      <c r="E974" s="170" t="s">
        <v>1180</v>
      </c>
      <c r="F974" s="170"/>
      <c r="G974" s="155">
        <f>G975+G978+G984+G981</f>
        <v>214488.5</v>
      </c>
    </row>
    <row r="975" spans="1:7" ht="15">
      <c r="A975" s="152" t="s">
        <v>848</v>
      </c>
      <c r="B975" s="210" t="s">
        <v>477</v>
      </c>
      <c r="C975" s="170" t="s">
        <v>432</v>
      </c>
      <c r="D975" s="170" t="s">
        <v>1145</v>
      </c>
      <c r="E975" s="170" t="s">
        <v>1192</v>
      </c>
      <c r="F975" s="170"/>
      <c r="G975" s="155">
        <f>G976</f>
        <v>5000</v>
      </c>
    </row>
    <row r="976" spans="1:7" ht="15">
      <c r="A976" s="153" t="s">
        <v>985</v>
      </c>
      <c r="B976" s="210" t="s">
        <v>477</v>
      </c>
      <c r="C976" s="170" t="s">
        <v>432</v>
      </c>
      <c r="D976" s="170" t="s">
        <v>1145</v>
      </c>
      <c r="E976" s="170" t="s">
        <v>1192</v>
      </c>
      <c r="F976" s="170" t="s">
        <v>986</v>
      </c>
      <c r="G976" s="155">
        <f>G977</f>
        <v>5000</v>
      </c>
    </row>
    <row r="977" spans="1:7" ht="24">
      <c r="A977" s="152" t="s">
        <v>555</v>
      </c>
      <c r="B977" s="210" t="s">
        <v>477</v>
      </c>
      <c r="C977" s="170" t="s">
        <v>432</v>
      </c>
      <c r="D977" s="170" t="s">
        <v>1145</v>
      </c>
      <c r="E977" s="170" t="s">
        <v>1192</v>
      </c>
      <c r="F977" s="170" t="s">
        <v>556</v>
      </c>
      <c r="G977" s="158">
        <f>5000</f>
        <v>5000</v>
      </c>
    </row>
    <row r="978" spans="1:7" ht="48">
      <c r="A978" s="152" t="s">
        <v>1593</v>
      </c>
      <c r="B978" s="210" t="s">
        <v>477</v>
      </c>
      <c r="C978" s="170" t="s">
        <v>432</v>
      </c>
      <c r="D978" s="170" t="s">
        <v>1145</v>
      </c>
      <c r="E978" s="170" t="s">
        <v>1594</v>
      </c>
      <c r="F978" s="170"/>
      <c r="G978" s="279">
        <f>G979</f>
        <v>20777</v>
      </c>
    </row>
    <row r="979" spans="1:7" ht="15">
      <c r="A979" s="153" t="s">
        <v>985</v>
      </c>
      <c r="B979" s="210" t="s">
        <v>477</v>
      </c>
      <c r="C979" s="170" t="s">
        <v>432</v>
      </c>
      <c r="D979" s="170" t="s">
        <v>1145</v>
      </c>
      <c r="E979" s="170" t="s">
        <v>1594</v>
      </c>
      <c r="F979" s="170" t="s">
        <v>986</v>
      </c>
      <c r="G979" s="279">
        <f>G980</f>
        <v>20777</v>
      </c>
    </row>
    <row r="980" spans="1:7" ht="24">
      <c r="A980" s="152" t="s">
        <v>555</v>
      </c>
      <c r="B980" s="210" t="s">
        <v>477</v>
      </c>
      <c r="C980" s="170" t="s">
        <v>432</v>
      </c>
      <c r="D980" s="170" t="s">
        <v>1145</v>
      </c>
      <c r="E980" s="170" t="s">
        <v>1594</v>
      </c>
      <c r="F980" s="170" t="s">
        <v>556</v>
      </c>
      <c r="G980" s="158">
        <f>20735+42</f>
        <v>20777</v>
      </c>
    </row>
    <row r="981" spans="1:7" ht="84">
      <c r="A981" s="152" t="s">
        <v>1790</v>
      </c>
      <c r="B981" s="210" t="s">
        <v>477</v>
      </c>
      <c r="C981" s="170" t="s">
        <v>432</v>
      </c>
      <c r="D981" s="170" t="s">
        <v>1145</v>
      </c>
      <c r="E981" s="170" t="s">
        <v>1791</v>
      </c>
      <c r="F981" s="170"/>
      <c r="G981" s="325">
        <f>G982</f>
        <v>152482.5</v>
      </c>
    </row>
    <row r="982" spans="1:7" ht="15">
      <c r="A982" s="153" t="s">
        <v>985</v>
      </c>
      <c r="B982" s="210" t="s">
        <v>477</v>
      </c>
      <c r="C982" s="170" t="s">
        <v>432</v>
      </c>
      <c r="D982" s="170" t="s">
        <v>1145</v>
      </c>
      <c r="E982" s="170" t="s">
        <v>1791</v>
      </c>
      <c r="F982" s="170" t="s">
        <v>986</v>
      </c>
      <c r="G982" s="325">
        <f>G983</f>
        <v>152482.5</v>
      </c>
    </row>
    <row r="983" spans="1:7" ht="24">
      <c r="A983" s="152" t="s">
        <v>555</v>
      </c>
      <c r="B983" s="210" t="s">
        <v>477</v>
      </c>
      <c r="C983" s="170" t="s">
        <v>432</v>
      </c>
      <c r="D983" s="170" t="s">
        <v>1145</v>
      </c>
      <c r="E983" s="170" t="s">
        <v>1791</v>
      </c>
      <c r="F983" s="170" t="s">
        <v>556</v>
      </c>
      <c r="G983" s="158">
        <v>152482.5</v>
      </c>
    </row>
    <row r="984" spans="1:7" ht="15">
      <c r="A984" s="152" t="s">
        <v>1653</v>
      </c>
      <c r="B984" s="210" t="s">
        <v>477</v>
      </c>
      <c r="C984" s="170" t="s">
        <v>432</v>
      </c>
      <c r="D984" s="170" t="s">
        <v>1145</v>
      </c>
      <c r="E984" s="170" t="s">
        <v>1654</v>
      </c>
      <c r="F984" s="170"/>
      <c r="G984" s="279">
        <f>G985</f>
        <v>36229</v>
      </c>
    </row>
    <row r="985" spans="1:7" ht="15">
      <c r="A985" s="153" t="s">
        <v>985</v>
      </c>
      <c r="B985" s="210" t="s">
        <v>477</v>
      </c>
      <c r="C985" s="170" t="s">
        <v>432</v>
      </c>
      <c r="D985" s="170" t="s">
        <v>1145</v>
      </c>
      <c r="E985" s="170" t="s">
        <v>1654</v>
      </c>
      <c r="F985" s="170" t="s">
        <v>986</v>
      </c>
      <c r="G985" s="279">
        <f>G986</f>
        <v>36229</v>
      </c>
    </row>
    <row r="986" spans="1:7" ht="24">
      <c r="A986" s="152" t="s">
        <v>555</v>
      </c>
      <c r="B986" s="210" t="s">
        <v>477</v>
      </c>
      <c r="C986" s="170" t="s">
        <v>432</v>
      </c>
      <c r="D986" s="170" t="s">
        <v>1145</v>
      </c>
      <c r="E986" s="170" t="s">
        <v>1654</v>
      </c>
      <c r="F986" s="170" t="s">
        <v>556</v>
      </c>
      <c r="G986" s="158">
        <v>36229</v>
      </c>
    </row>
    <row r="987" spans="1:7" ht="15">
      <c r="A987" s="152" t="s">
        <v>735</v>
      </c>
      <c r="B987" s="210" t="s">
        <v>477</v>
      </c>
      <c r="C987" s="147" t="s">
        <v>432</v>
      </c>
      <c r="D987" s="147" t="s">
        <v>1145</v>
      </c>
      <c r="E987" s="170" t="s">
        <v>1193</v>
      </c>
      <c r="F987" s="170"/>
      <c r="G987" s="155">
        <f>G988</f>
        <v>30082.9</v>
      </c>
    </row>
    <row r="988" spans="1:7" ht="36">
      <c r="A988" s="152" t="s">
        <v>625</v>
      </c>
      <c r="B988" s="210" t="s">
        <v>477</v>
      </c>
      <c r="C988" s="147" t="s">
        <v>432</v>
      </c>
      <c r="D988" s="147" t="s">
        <v>1145</v>
      </c>
      <c r="E988" s="170" t="s">
        <v>1194</v>
      </c>
      <c r="F988" s="170"/>
      <c r="G988" s="155">
        <f>G989</f>
        <v>30082.9</v>
      </c>
    </row>
    <row r="989" spans="1:7" ht="15.75" customHeight="1">
      <c r="A989" s="153" t="s">
        <v>985</v>
      </c>
      <c r="B989" s="210" t="s">
        <v>477</v>
      </c>
      <c r="C989" s="147" t="s">
        <v>432</v>
      </c>
      <c r="D989" s="147" t="s">
        <v>1145</v>
      </c>
      <c r="E989" s="170" t="s">
        <v>1194</v>
      </c>
      <c r="F989" s="170" t="s">
        <v>986</v>
      </c>
      <c r="G989" s="155">
        <f>G990</f>
        <v>30082.9</v>
      </c>
    </row>
    <row r="990" spans="1:7" ht="24">
      <c r="A990" s="152" t="s">
        <v>555</v>
      </c>
      <c r="B990" s="210" t="s">
        <v>477</v>
      </c>
      <c r="C990" s="147" t="s">
        <v>432</v>
      </c>
      <c r="D990" s="147" t="s">
        <v>1145</v>
      </c>
      <c r="E990" s="170" t="s">
        <v>1194</v>
      </c>
      <c r="F990" s="170" t="s">
        <v>556</v>
      </c>
      <c r="G990" s="158">
        <f>30082.9</f>
        <v>30082.9</v>
      </c>
    </row>
    <row r="991" spans="1:7" ht="24">
      <c r="A991" s="160" t="s">
        <v>1268</v>
      </c>
      <c r="B991" s="210" t="s">
        <v>477</v>
      </c>
      <c r="C991" s="170" t="s">
        <v>432</v>
      </c>
      <c r="D991" s="170" t="s">
        <v>1145</v>
      </c>
      <c r="E991" s="147" t="s">
        <v>733</v>
      </c>
      <c r="F991" s="170"/>
      <c r="G991" s="155">
        <f>G992</f>
        <v>11648</v>
      </c>
    </row>
    <row r="992" spans="1:7" ht="72">
      <c r="A992" s="157" t="s">
        <v>1307</v>
      </c>
      <c r="B992" s="210" t="s">
        <v>477</v>
      </c>
      <c r="C992" s="147" t="s">
        <v>432</v>
      </c>
      <c r="D992" s="147" t="s">
        <v>1145</v>
      </c>
      <c r="E992" s="147" t="s">
        <v>728</v>
      </c>
      <c r="F992" s="170"/>
      <c r="G992" s="155">
        <f>G995</f>
        <v>11648</v>
      </c>
    </row>
    <row r="993" spans="1:7" ht="24">
      <c r="A993" s="153" t="s">
        <v>732</v>
      </c>
      <c r="B993" s="210" t="s">
        <v>477</v>
      </c>
      <c r="C993" s="147" t="s">
        <v>432</v>
      </c>
      <c r="D993" s="147" t="s">
        <v>1145</v>
      </c>
      <c r="E993" s="147" t="s">
        <v>729</v>
      </c>
      <c r="F993" s="170"/>
      <c r="G993" s="155">
        <f>G994</f>
        <v>11648</v>
      </c>
    </row>
    <row r="994" spans="1:7" ht="24">
      <c r="A994" s="153" t="s">
        <v>626</v>
      </c>
      <c r="B994" s="210" t="s">
        <v>477</v>
      </c>
      <c r="C994" s="147" t="s">
        <v>432</v>
      </c>
      <c r="D994" s="147" t="s">
        <v>1145</v>
      </c>
      <c r="E994" s="147" t="s">
        <v>791</v>
      </c>
      <c r="F994" s="170"/>
      <c r="G994" s="155">
        <f>G995</f>
        <v>11648</v>
      </c>
    </row>
    <row r="995" spans="1:7" ht="24">
      <c r="A995" s="153" t="s">
        <v>1066</v>
      </c>
      <c r="B995" s="210" t="s">
        <v>477</v>
      </c>
      <c r="C995" s="147" t="s">
        <v>432</v>
      </c>
      <c r="D995" s="147" t="s">
        <v>1145</v>
      </c>
      <c r="E995" s="147" t="s">
        <v>791</v>
      </c>
      <c r="F995" s="170" t="s">
        <v>529</v>
      </c>
      <c r="G995" s="155">
        <f>G996</f>
        <v>11648</v>
      </c>
    </row>
    <row r="996" spans="1:7" ht="25.5" customHeight="1">
      <c r="A996" s="153" t="s">
        <v>591</v>
      </c>
      <c r="B996" s="210" t="s">
        <v>477</v>
      </c>
      <c r="C996" s="147" t="s">
        <v>432</v>
      </c>
      <c r="D996" s="147" t="s">
        <v>1145</v>
      </c>
      <c r="E996" s="147" t="s">
        <v>791</v>
      </c>
      <c r="F996" s="170" t="s">
        <v>429</v>
      </c>
      <c r="G996" s="158">
        <f>9237.1+355.1+6.9+28.9+5+2015</f>
        <v>11648</v>
      </c>
    </row>
    <row r="997" spans="1:7" ht="15">
      <c r="A997" s="4" t="s">
        <v>370</v>
      </c>
      <c r="B997" s="210" t="s">
        <v>477</v>
      </c>
      <c r="C997" s="147" t="s">
        <v>432</v>
      </c>
      <c r="D997" s="147" t="s">
        <v>405</v>
      </c>
      <c r="E997" s="147"/>
      <c r="F997" s="147"/>
      <c r="G997" s="155">
        <f>G998</f>
        <v>223335.19999999998</v>
      </c>
    </row>
    <row r="998" spans="1:7" ht="24">
      <c r="A998" s="171" t="s">
        <v>1308</v>
      </c>
      <c r="B998" s="210" t="s">
        <v>477</v>
      </c>
      <c r="C998" s="147" t="s">
        <v>432</v>
      </c>
      <c r="D998" s="147" t="s">
        <v>405</v>
      </c>
      <c r="E998" s="147" t="s">
        <v>270</v>
      </c>
      <c r="F998" s="147"/>
      <c r="G998" s="155">
        <f>G999</f>
        <v>223335.19999999998</v>
      </c>
    </row>
    <row r="999" spans="1:7" ht="24">
      <c r="A999" s="157" t="s">
        <v>1313</v>
      </c>
      <c r="B999" s="210" t="s">
        <v>477</v>
      </c>
      <c r="C999" s="147" t="s">
        <v>432</v>
      </c>
      <c r="D999" s="147" t="s">
        <v>405</v>
      </c>
      <c r="E999" s="147" t="s">
        <v>850</v>
      </c>
      <c r="F999" s="147"/>
      <c r="G999" s="155">
        <f>G1000+G1006</f>
        <v>223335.19999999998</v>
      </c>
    </row>
    <row r="1000" spans="1:7" ht="24">
      <c r="A1000" s="157" t="s">
        <v>849</v>
      </c>
      <c r="B1000" s="210" t="s">
        <v>477</v>
      </c>
      <c r="C1000" s="147" t="s">
        <v>432</v>
      </c>
      <c r="D1000" s="147" t="s">
        <v>405</v>
      </c>
      <c r="E1000" s="147" t="s">
        <v>854</v>
      </c>
      <c r="F1000" s="147"/>
      <c r="G1000" s="155">
        <f>G1002</f>
        <v>39775</v>
      </c>
    </row>
    <row r="1001" spans="1:7" ht="18" customHeight="1">
      <c r="A1001" s="157" t="s">
        <v>853</v>
      </c>
      <c r="B1001" s="210" t="s">
        <v>477</v>
      </c>
      <c r="C1001" s="147" t="s">
        <v>432</v>
      </c>
      <c r="D1001" s="147" t="s">
        <v>405</v>
      </c>
      <c r="E1001" s="147" t="s">
        <v>851</v>
      </c>
      <c r="F1001" s="147"/>
      <c r="G1001" s="155">
        <f>G1002</f>
        <v>39775</v>
      </c>
    </row>
    <row r="1002" spans="1:7" ht="24">
      <c r="A1002" s="153" t="s">
        <v>985</v>
      </c>
      <c r="B1002" s="210" t="s">
        <v>477</v>
      </c>
      <c r="C1002" s="147" t="s">
        <v>432</v>
      </c>
      <c r="D1002" s="147" t="s">
        <v>405</v>
      </c>
      <c r="E1002" s="147" t="s">
        <v>851</v>
      </c>
      <c r="F1002" s="147" t="s">
        <v>986</v>
      </c>
      <c r="G1002" s="155">
        <f>G1003+G1004+G1005</f>
        <v>39775</v>
      </c>
    </row>
    <row r="1003" spans="1:7" ht="48">
      <c r="A1003" s="152" t="s">
        <v>754</v>
      </c>
      <c r="B1003" s="210" t="s">
        <v>477</v>
      </c>
      <c r="C1003" s="147" t="s">
        <v>432</v>
      </c>
      <c r="D1003" s="147" t="s">
        <v>405</v>
      </c>
      <c r="E1003" s="147" t="s">
        <v>851</v>
      </c>
      <c r="F1003" s="147" t="s">
        <v>556</v>
      </c>
      <c r="G1003" s="158">
        <f>20000</f>
        <v>20000</v>
      </c>
    </row>
    <row r="1004" spans="1:7" ht="36">
      <c r="A1004" s="152" t="s">
        <v>1545</v>
      </c>
      <c r="B1004" s="210" t="s">
        <v>477</v>
      </c>
      <c r="C1004" s="147" t="s">
        <v>432</v>
      </c>
      <c r="D1004" s="147" t="s">
        <v>405</v>
      </c>
      <c r="E1004" s="147" t="s">
        <v>851</v>
      </c>
      <c r="F1004" s="147" t="s">
        <v>556</v>
      </c>
      <c r="G1004" s="158">
        <f>4275+12000</f>
        <v>16275</v>
      </c>
    </row>
    <row r="1005" spans="1:7" ht="18" customHeight="1">
      <c r="A1005" s="152" t="s">
        <v>1726</v>
      </c>
      <c r="B1005" s="210" t="s">
        <v>477</v>
      </c>
      <c r="C1005" s="147" t="s">
        <v>432</v>
      </c>
      <c r="D1005" s="147" t="s">
        <v>405</v>
      </c>
      <c r="E1005" s="147" t="s">
        <v>851</v>
      </c>
      <c r="F1005" s="147" t="s">
        <v>556</v>
      </c>
      <c r="G1005" s="158">
        <v>3500</v>
      </c>
    </row>
    <row r="1006" spans="1:7" ht="15.75" customHeight="1">
      <c r="A1006" s="152" t="s">
        <v>310</v>
      </c>
      <c r="B1006" s="210" t="s">
        <v>477</v>
      </c>
      <c r="C1006" s="147" t="s">
        <v>432</v>
      </c>
      <c r="D1006" s="147" t="s">
        <v>405</v>
      </c>
      <c r="E1006" s="147" t="s">
        <v>855</v>
      </c>
      <c r="F1006" s="147"/>
      <c r="G1006" s="155">
        <f>G1007+G1017+G1014</f>
        <v>183560.19999999998</v>
      </c>
    </row>
    <row r="1007" spans="1:7" ht="24">
      <c r="A1007" s="152" t="s">
        <v>856</v>
      </c>
      <c r="B1007" s="210" t="s">
        <v>477</v>
      </c>
      <c r="C1007" s="147" t="s">
        <v>432</v>
      </c>
      <c r="D1007" s="147" t="s">
        <v>405</v>
      </c>
      <c r="E1007" s="147" t="s">
        <v>857</v>
      </c>
      <c r="F1007" s="147"/>
      <c r="G1007" s="155">
        <f>G1008</f>
        <v>170922.8</v>
      </c>
    </row>
    <row r="1008" spans="1:7" ht="24">
      <c r="A1008" s="152" t="s">
        <v>461</v>
      </c>
      <c r="B1008" s="210" t="s">
        <v>477</v>
      </c>
      <c r="C1008" s="147" t="s">
        <v>432</v>
      </c>
      <c r="D1008" s="147" t="s">
        <v>405</v>
      </c>
      <c r="E1008" s="147" t="s">
        <v>857</v>
      </c>
      <c r="F1008" s="147" t="s">
        <v>1167</v>
      </c>
      <c r="G1008" s="155">
        <f>G1009</f>
        <v>170922.8</v>
      </c>
    </row>
    <row r="1009" spans="1:7" ht="36">
      <c r="A1009" s="152" t="s">
        <v>444</v>
      </c>
      <c r="B1009" s="210" t="s">
        <v>477</v>
      </c>
      <c r="C1009" s="147" t="s">
        <v>432</v>
      </c>
      <c r="D1009" s="147" t="s">
        <v>405</v>
      </c>
      <c r="E1009" s="147" t="s">
        <v>857</v>
      </c>
      <c r="F1009" s="147" t="s">
        <v>881</v>
      </c>
      <c r="G1009" s="155">
        <f>SUM(G1010:G1013)</f>
        <v>170922.8</v>
      </c>
    </row>
    <row r="1010" spans="1:7" ht="24">
      <c r="A1010" s="152" t="s">
        <v>833</v>
      </c>
      <c r="B1010" s="210" t="s">
        <v>477</v>
      </c>
      <c r="C1010" s="147" t="s">
        <v>432</v>
      </c>
      <c r="D1010" s="147" t="s">
        <v>405</v>
      </c>
      <c r="E1010" s="147" t="s">
        <v>857</v>
      </c>
      <c r="F1010" s="147" t="s">
        <v>881</v>
      </c>
      <c r="G1010" s="158">
        <f>30000-30000</f>
        <v>0</v>
      </c>
    </row>
    <row r="1011" spans="1:7" ht="24">
      <c r="A1011" s="152" t="s">
        <v>311</v>
      </c>
      <c r="B1011" s="210" t="s">
        <v>477</v>
      </c>
      <c r="C1011" s="147" t="s">
        <v>432</v>
      </c>
      <c r="D1011" s="147" t="s">
        <v>405</v>
      </c>
      <c r="E1011" s="147" t="s">
        <v>857</v>
      </c>
      <c r="F1011" s="147" t="s">
        <v>881</v>
      </c>
      <c r="G1011" s="158">
        <v>170922.8</v>
      </c>
    </row>
    <row r="1012" spans="1:7" ht="36">
      <c r="A1012" s="152" t="s">
        <v>1727</v>
      </c>
      <c r="B1012" s="210" t="s">
        <v>477</v>
      </c>
      <c r="C1012" s="147" t="s">
        <v>432</v>
      </c>
      <c r="D1012" s="147" t="s">
        <v>405</v>
      </c>
      <c r="E1012" s="147" t="s">
        <v>857</v>
      </c>
      <c r="F1012" s="147" t="s">
        <v>881</v>
      </c>
      <c r="G1012" s="158">
        <f>8014-8014</f>
        <v>0</v>
      </c>
    </row>
    <row r="1013" spans="1:7" ht="24">
      <c r="A1013" s="152" t="s">
        <v>1728</v>
      </c>
      <c r="B1013" s="210" t="s">
        <v>477</v>
      </c>
      <c r="C1013" s="147" t="s">
        <v>432</v>
      </c>
      <c r="D1013" s="147" t="s">
        <v>405</v>
      </c>
      <c r="E1013" s="147" t="s">
        <v>857</v>
      </c>
      <c r="F1013" s="147" t="s">
        <v>881</v>
      </c>
      <c r="G1013" s="158">
        <f>12215.3-12215.3</f>
        <v>0</v>
      </c>
    </row>
    <row r="1014" spans="1:7" ht="24">
      <c r="A1014" s="152" t="s">
        <v>1655</v>
      </c>
      <c r="B1014" s="210" t="s">
        <v>477</v>
      </c>
      <c r="C1014" s="147" t="s">
        <v>432</v>
      </c>
      <c r="D1014" s="147" t="s">
        <v>405</v>
      </c>
      <c r="E1014" s="147" t="s">
        <v>1656</v>
      </c>
      <c r="F1014" s="147"/>
      <c r="G1014" s="279">
        <f>G1015</f>
        <v>9500</v>
      </c>
    </row>
    <row r="1015" spans="1:7" ht="24">
      <c r="A1015" s="153" t="s">
        <v>1066</v>
      </c>
      <c r="B1015" s="210" t="s">
        <v>477</v>
      </c>
      <c r="C1015" s="147" t="s">
        <v>432</v>
      </c>
      <c r="D1015" s="147" t="s">
        <v>405</v>
      </c>
      <c r="E1015" s="147" t="s">
        <v>1656</v>
      </c>
      <c r="F1015" s="147" t="s">
        <v>529</v>
      </c>
      <c r="G1015" s="279">
        <f>G1016</f>
        <v>9500</v>
      </c>
    </row>
    <row r="1016" spans="1:7" ht="24">
      <c r="A1016" s="153" t="s">
        <v>974</v>
      </c>
      <c r="B1016" s="210" t="s">
        <v>477</v>
      </c>
      <c r="C1016" s="147" t="s">
        <v>432</v>
      </c>
      <c r="D1016" s="147" t="s">
        <v>405</v>
      </c>
      <c r="E1016" s="147" t="s">
        <v>1656</v>
      </c>
      <c r="F1016" s="147" t="s">
        <v>429</v>
      </c>
      <c r="G1016" s="158">
        <f>5500+4000</f>
        <v>9500</v>
      </c>
    </row>
    <row r="1017" spans="1:7" ht="36">
      <c r="A1017" s="152" t="s">
        <v>1595</v>
      </c>
      <c r="B1017" s="210" t="s">
        <v>477</v>
      </c>
      <c r="C1017" s="147" t="s">
        <v>432</v>
      </c>
      <c r="D1017" s="147" t="s">
        <v>405</v>
      </c>
      <c r="E1017" s="147" t="s">
        <v>1596</v>
      </c>
      <c r="F1017" s="147"/>
      <c r="G1017" s="279">
        <f>G1018</f>
        <v>3137.4</v>
      </c>
    </row>
    <row r="1018" spans="1:7" ht="24">
      <c r="A1018" s="153" t="s">
        <v>1066</v>
      </c>
      <c r="B1018" s="210" t="s">
        <v>477</v>
      </c>
      <c r="C1018" s="147" t="s">
        <v>432</v>
      </c>
      <c r="D1018" s="147" t="s">
        <v>405</v>
      </c>
      <c r="E1018" s="147" t="s">
        <v>1596</v>
      </c>
      <c r="F1018" s="147" t="s">
        <v>529</v>
      </c>
      <c r="G1018" s="279">
        <f>G1019</f>
        <v>3137.4</v>
      </c>
    </row>
    <row r="1019" spans="1:7" ht="24">
      <c r="A1019" s="153" t="s">
        <v>974</v>
      </c>
      <c r="B1019" s="210" t="s">
        <v>477</v>
      </c>
      <c r="C1019" s="147" t="s">
        <v>432</v>
      </c>
      <c r="D1019" s="147" t="s">
        <v>405</v>
      </c>
      <c r="E1019" s="147" t="s">
        <v>1596</v>
      </c>
      <c r="F1019" s="147" t="s">
        <v>429</v>
      </c>
      <c r="G1019" s="158">
        <v>3137.4</v>
      </c>
    </row>
    <row r="1020" spans="1:7" ht="21.75" customHeight="1">
      <c r="A1020" s="152" t="s">
        <v>304</v>
      </c>
      <c r="B1020" s="210" t="s">
        <v>477</v>
      </c>
      <c r="C1020" s="147" t="s">
        <v>432</v>
      </c>
      <c r="D1020" s="147" t="s">
        <v>405</v>
      </c>
      <c r="E1020" s="170" t="s">
        <v>588</v>
      </c>
      <c r="F1020" s="147"/>
      <c r="G1020" s="155">
        <f>G1021</f>
        <v>0</v>
      </c>
    </row>
    <row r="1021" spans="1:7" ht="24">
      <c r="A1021" s="153" t="s">
        <v>1066</v>
      </c>
      <c r="B1021" s="210" t="s">
        <v>477</v>
      </c>
      <c r="C1021" s="147" t="s">
        <v>432</v>
      </c>
      <c r="D1021" s="147" t="s">
        <v>405</v>
      </c>
      <c r="E1021" s="170" t="s">
        <v>588</v>
      </c>
      <c r="F1021" s="147" t="s">
        <v>529</v>
      </c>
      <c r="G1021" s="155">
        <f>G1022</f>
        <v>0</v>
      </c>
    </row>
    <row r="1022" spans="1:7" ht="15">
      <c r="A1022" s="153" t="s">
        <v>974</v>
      </c>
      <c r="B1022" s="210" t="s">
        <v>477</v>
      </c>
      <c r="C1022" s="147" t="s">
        <v>432</v>
      </c>
      <c r="D1022" s="147" t="s">
        <v>405</v>
      </c>
      <c r="E1022" s="170" t="s">
        <v>588</v>
      </c>
      <c r="F1022" s="147" t="s">
        <v>429</v>
      </c>
      <c r="G1022" s="158">
        <v>0</v>
      </c>
    </row>
    <row r="1023" spans="1:7" ht="15">
      <c r="A1023" s="173" t="s">
        <v>560</v>
      </c>
      <c r="B1023" s="210" t="s">
        <v>477</v>
      </c>
      <c r="C1023" s="147" t="s">
        <v>432</v>
      </c>
      <c r="D1023" s="147" t="s">
        <v>405</v>
      </c>
      <c r="E1023" s="170" t="s">
        <v>859</v>
      </c>
      <c r="F1023" s="147"/>
      <c r="G1023" s="155">
        <f>G1024</f>
        <v>0</v>
      </c>
    </row>
    <row r="1024" spans="1:7" ht="24">
      <c r="A1024" s="153" t="s">
        <v>1066</v>
      </c>
      <c r="B1024" s="210" t="s">
        <v>477</v>
      </c>
      <c r="C1024" s="147" t="s">
        <v>432</v>
      </c>
      <c r="D1024" s="147" t="s">
        <v>405</v>
      </c>
      <c r="E1024" s="170" t="s">
        <v>859</v>
      </c>
      <c r="F1024" s="147" t="s">
        <v>529</v>
      </c>
      <c r="G1024" s="155">
        <f>G1025</f>
        <v>0</v>
      </c>
    </row>
    <row r="1025" spans="1:7" ht="21" customHeight="1">
      <c r="A1025" s="153" t="s">
        <v>591</v>
      </c>
      <c r="B1025" s="210" t="s">
        <v>477</v>
      </c>
      <c r="C1025" s="147" t="s">
        <v>432</v>
      </c>
      <c r="D1025" s="147" t="s">
        <v>405</v>
      </c>
      <c r="E1025" s="170" t="s">
        <v>859</v>
      </c>
      <c r="F1025" s="147" t="s">
        <v>429</v>
      </c>
      <c r="G1025" s="158">
        <v>0</v>
      </c>
    </row>
    <row r="1026" spans="1:7" ht="15">
      <c r="A1026" s="162" t="s">
        <v>698</v>
      </c>
      <c r="B1026" s="210" t="s">
        <v>477</v>
      </c>
      <c r="C1026" s="147" t="s">
        <v>432</v>
      </c>
      <c r="D1026" s="147" t="s">
        <v>436</v>
      </c>
      <c r="E1026" s="170"/>
      <c r="F1026" s="147"/>
      <c r="G1026" s="155">
        <f>G1027+G1078+G1097+G1115+G1141+G1091</f>
        <v>648314.6</v>
      </c>
    </row>
    <row r="1027" spans="1:7" ht="24">
      <c r="A1027" s="171" t="s">
        <v>1308</v>
      </c>
      <c r="B1027" s="210" t="s">
        <v>477</v>
      </c>
      <c r="C1027" s="147" t="s">
        <v>432</v>
      </c>
      <c r="D1027" s="147" t="s">
        <v>436</v>
      </c>
      <c r="E1027" s="147" t="s">
        <v>270</v>
      </c>
      <c r="F1027" s="147"/>
      <c r="G1027" s="155">
        <f>G1028+G1067</f>
        <v>426263</v>
      </c>
    </row>
    <row r="1028" spans="1:7" ht="20.25" customHeight="1">
      <c r="A1028" s="153" t="s">
        <v>1309</v>
      </c>
      <c r="B1028" s="210" t="s">
        <v>477</v>
      </c>
      <c r="C1028" s="147" t="s">
        <v>432</v>
      </c>
      <c r="D1028" s="147" t="s">
        <v>436</v>
      </c>
      <c r="E1028" s="147" t="s">
        <v>271</v>
      </c>
      <c r="F1028" s="147"/>
      <c r="G1028" s="155">
        <f>G1029+G1060</f>
        <v>364850.5</v>
      </c>
    </row>
    <row r="1029" spans="1:7" ht="24">
      <c r="A1029" s="153" t="s">
        <v>579</v>
      </c>
      <c r="B1029" s="210" t="s">
        <v>477</v>
      </c>
      <c r="C1029" s="147" t="s">
        <v>432</v>
      </c>
      <c r="D1029" s="147" t="s">
        <v>436</v>
      </c>
      <c r="E1029" s="147" t="s">
        <v>272</v>
      </c>
      <c r="F1029" s="147"/>
      <c r="G1029" s="155">
        <f>G1030+G1033+G1057+G1051+G1054</f>
        <v>213985.4</v>
      </c>
    </row>
    <row r="1030" spans="1:7" ht="36">
      <c r="A1030" s="152" t="s">
        <v>123</v>
      </c>
      <c r="B1030" s="210" t="s">
        <v>477</v>
      </c>
      <c r="C1030" s="147" t="s">
        <v>432</v>
      </c>
      <c r="D1030" s="147" t="s">
        <v>436</v>
      </c>
      <c r="E1030" s="147" t="s">
        <v>1005</v>
      </c>
      <c r="F1030" s="147"/>
      <c r="G1030" s="155">
        <f>G1031</f>
        <v>12642</v>
      </c>
    </row>
    <row r="1031" spans="1:7" ht="24">
      <c r="A1031" s="152" t="s">
        <v>490</v>
      </c>
      <c r="B1031" s="210" t="s">
        <v>477</v>
      </c>
      <c r="C1031" s="147" t="s">
        <v>432</v>
      </c>
      <c r="D1031" s="147" t="s">
        <v>436</v>
      </c>
      <c r="E1031" s="147" t="s">
        <v>1005</v>
      </c>
      <c r="F1031" s="147" t="s">
        <v>489</v>
      </c>
      <c r="G1031" s="155">
        <f>G1032</f>
        <v>12642</v>
      </c>
    </row>
    <row r="1032" spans="1:7" ht="24">
      <c r="A1032" s="157" t="s">
        <v>573</v>
      </c>
      <c r="B1032" s="210" t="s">
        <v>477</v>
      </c>
      <c r="C1032" s="147" t="s">
        <v>432</v>
      </c>
      <c r="D1032" s="147" t="s">
        <v>436</v>
      </c>
      <c r="E1032" s="147" t="s">
        <v>1005</v>
      </c>
      <c r="F1032" s="147" t="s">
        <v>574</v>
      </c>
      <c r="G1032" s="158">
        <f>13600-958</f>
        <v>12642</v>
      </c>
    </row>
    <row r="1033" spans="1:7" ht="24">
      <c r="A1033" s="157" t="s">
        <v>1006</v>
      </c>
      <c r="B1033" s="210" t="s">
        <v>477</v>
      </c>
      <c r="C1033" s="147" t="s">
        <v>432</v>
      </c>
      <c r="D1033" s="147" t="s">
        <v>436</v>
      </c>
      <c r="E1033" s="147" t="s">
        <v>1007</v>
      </c>
      <c r="F1033" s="147"/>
      <c r="G1033" s="155">
        <f>G1034+G1037</f>
        <v>191425.1</v>
      </c>
    </row>
    <row r="1034" spans="1:7" ht="24">
      <c r="A1034" s="153" t="s">
        <v>461</v>
      </c>
      <c r="B1034" s="210" t="s">
        <v>477</v>
      </c>
      <c r="C1034" s="147" t="s">
        <v>432</v>
      </c>
      <c r="D1034" s="147" t="s">
        <v>436</v>
      </c>
      <c r="E1034" s="147" t="s">
        <v>1007</v>
      </c>
      <c r="F1034" s="147" t="s">
        <v>1167</v>
      </c>
      <c r="G1034" s="311">
        <f>G1035</f>
        <v>10108.5</v>
      </c>
    </row>
    <row r="1035" spans="1:7" ht="24">
      <c r="A1035" s="153" t="s">
        <v>1546</v>
      </c>
      <c r="B1035" s="210" t="s">
        <v>477</v>
      </c>
      <c r="C1035" s="147" t="s">
        <v>432</v>
      </c>
      <c r="D1035" s="147" t="s">
        <v>436</v>
      </c>
      <c r="E1035" s="147" t="s">
        <v>1007</v>
      </c>
      <c r="F1035" s="147" t="s">
        <v>825</v>
      </c>
      <c r="G1035" s="311">
        <f>G1036</f>
        <v>10108.5</v>
      </c>
    </row>
    <row r="1036" spans="1:7" ht="36">
      <c r="A1036" s="153" t="s">
        <v>1547</v>
      </c>
      <c r="B1036" s="210" t="s">
        <v>477</v>
      </c>
      <c r="C1036" s="147" t="s">
        <v>432</v>
      </c>
      <c r="D1036" s="147" t="s">
        <v>436</v>
      </c>
      <c r="E1036" s="147" t="s">
        <v>1007</v>
      </c>
      <c r="F1036" s="147" t="s">
        <v>825</v>
      </c>
      <c r="G1036" s="154">
        <f>2222+9278-1391.5</f>
        <v>10108.5</v>
      </c>
    </row>
    <row r="1037" spans="1:7" ht="24">
      <c r="A1037" s="152" t="s">
        <v>490</v>
      </c>
      <c r="B1037" s="210" t="s">
        <v>477</v>
      </c>
      <c r="C1037" s="147" t="s">
        <v>432</v>
      </c>
      <c r="D1037" s="147" t="s">
        <v>436</v>
      </c>
      <c r="E1037" s="147" t="s">
        <v>1007</v>
      </c>
      <c r="F1037" s="147" t="s">
        <v>489</v>
      </c>
      <c r="G1037" s="155">
        <f>G1038</f>
        <v>181316.6</v>
      </c>
    </row>
    <row r="1038" spans="1:7" ht="24">
      <c r="A1038" s="157" t="s">
        <v>491</v>
      </c>
      <c r="B1038" s="210" t="s">
        <v>477</v>
      </c>
      <c r="C1038" s="147" t="s">
        <v>432</v>
      </c>
      <c r="D1038" s="147" t="s">
        <v>436</v>
      </c>
      <c r="E1038" s="147" t="s">
        <v>1007</v>
      </c>
      <c r="F1038" s="147" t="s">
        <v>574</v>
      </c>
      <c r="G1038" s="158">
        <f>101407.1+G1039+G1040+G1041-1200+G1042+G1043+1500+G1044+200+1000+600+500+G1045+G1046+4940+365+G1047+G1048+800+32000+G1049-2500+1500+960+G1050</f>
        <v>181316.6</v>
      </c>
    </row>
    <row r="1039" spans="1:7" ht="24">
      <c r="A1039" s="300" t="s">
        <v>1314</v>
      </c>
      <c r="B1039" s="210" t="s">
        <v>477</v>
      </c>
      <c r="C1039" s="147" t="s">
        <v>432</v>
      </c>
      <c r="D1039" s="147" t="s">
        <v>436</v>
      </c>
      <c r="E1039" s="147" t="s">
        <v>1007</v>
      </c>
      <c r="F1039" s="147" t="s">
        <v>574</v>
      </c>
      <c r="G1039" s="304">
        <f>6000+1300</f>
        <v>7300</v>
      </c>
    </row>
    <row r="1040" spans="1:7" ht="24">
      <c r="A1040" s="305" t="s">
        <v>1315</v>
      </c>
      <c r="B1040" s="210" t="s">
        <v>477</v>
      </c>
      <c r="C1040" s="147" t="s">
        <v>432</v>
      </c>
      <c r="D1040" s="147" t="s">
        <v>436</v>
      </c>
      <c r="E1040" s="147" t="s">
        <v>1007</v>
      </c>
      <c r="F1040" s="147" t="s">
        <v>574</v>
      </c>
      <c r="G1040" s="304">
        <v>2160</v>
      </c>
    </row>
    <row r="1041" spans="1:7" ht="24">
      <c r="A1041" s="305" t="s">
        <v>1316</v>
      </c>
      <c r="B1041" s="210" t="s">
        <v>477</v>
      </c>
      <c r="C1041" s="147" t="s">
        <v>432</v>
      </c>
      <c r="D1041" s="147" t="s">
        <v>436</v>
      </c>
      <c r="E1041" s="147" t="s">
        <v>1007</v>
      </c>
      <c r="F1041" s="147" t="s">
        <v>574</v>
      </c>
      <c r="G1041" s="304">
        <f>15000-833</f>
        <v>14167</v>
      </c>
    </row>
    <row r="1042" spans="1:7" ht="24">
      <c r="A1042" s="174" t="s">
        <v>1548</v>
      </c>
      <c r="B1042" s="210" t="s">
        <v>477</v>
      </c>
      <c r="C1042" s="147" t="s">
        <v>432</v>
      </c>
      <c r="D1042" s="147" t="s">
        <v>436</v>
      </c>
      <c r="E1042" s="147" t="s">
        <v>1007</v>
      </c>
      <c r="F1042" s="147" t="s">
        <v>574</v>
      </c>
      <c r="G1042" s="161">
        <v>4424.1</v>
      </c>
    </row>
    <row r="1043" spans="1:7" ht="36">
      <c r="A1043" s="174" t="s">
        <v>1549</v>
      </c>
      <c r="B1043" s="210" t="s">
        <v>477</v>
      </c>
      <c r="C1043" s="147" t="s">
        <v>432</v>
      </c>
      <c r="D1043" s="147" t="s">
        <v>436</v>
      </c>
      <c r="E1043" s="147" t="s">
        <v>1007</v>
      </c>
      <c r="F1043" s="147" t="s">
        <v>574</v>
      </c>
      <c r="G1043" s="161">
        <f>1768.7+0.1</f>
        <v>1768.8</v>
      </c>
    </row>
    <row r="1044" spans="1:8" ht="24">
      <c r="A1044" s="174" t="s">
        <v>1550</v>
      </c>
      <c r="B1044" s="210" t="s">
        <v>477</v>
      </c>
      <c r="C1044" s="147" t="s">
        <v>432</v>
      </c>
      <c r="D1044" s="147" t="s">
        <v>436</v>
      </c>
      <c r="E1044" s="147" t="s">
        <v>1007</v>
      </c>
      <c r="F1044" s="147" t="s">
        <v>574</v>
      </c>
      <c r="G1044" s="161">
        <v>958</v>
      </c>
      <c r="H1044" s="155" t="e">
        <f>#REF!</f>
        <v>#REF!</v>
      </c>
    </row>
    <row r="1045" spans="1:8" ht="17.25" customHeight="1">
      <c r="A1045" s="174" t="s">
        <v>1597</v>
      </c>
      <c r="B1045" s="210" t="s">
        <v>477</v>
      </c>
      <c r="C1045" s="147" t="s">
        <v>432</v>
      </c>
      <c r="D1045" s="147" t="s">
        <v>436</v>
      </c>
      <c r="E1045" s="147" t="s">
        <v>1007</v>
      </c>
      <c r="F1045" s="147" t="s">
        <v>574</v>
      </c>
      <c r="G1045" s="161">
        <v>800</v>
      </c>
      <c r="H1045" s="154" t="e">
        <f>#REF!</f>
        <v>#REF!</v>
      </c>
    </row>
    <row r="1046" spans="1:8" ht="24">
      <c r="A1046" s="174" t="s">
        <v>1598</v>
      </c>
      <c r="B1046" s="210" t="s">
        <v>477</v>
      </c>
      <c r="C1046" s="147" t="s">
        <v>432</v>
      </c>
      <c r="D1046" s="147" t="s">
        <v>436</v>
      </c>
      <c r="E1046" s="147" t="s">
        <v>1007</v>
      </c>
      <c r="F1046" s="147" t="s">
        <v>574</v>
      </c>
      <c r="G1046" s="161">
        <v>260</v>
      </c>
      <c r="H1046" s="314"/>
    </row>
    <row r="1047" spans="1:8" ht="36">
      <c r="A1047" s="174" t="s">
        <v>1599</v>
      </c>
      <c r="B1047" s="210" t="s">
        <v>477</v>
      </c>
      <c r="C1047" s="147" t="s">
        <v>432</v>
      </c>
      <c r="D1047" s="147" t="s">
        <v>436</v>
      </c>
      <c r="E1047" s="147" t="s">
        <v>1007</v>
      </c>
      <c r="F1047" s="147" t="s">
        <v>574</v>
      </c>
      <c r="G1047" s="161">
        <f>1200-800</f>
        <v>400</v>
      </c>
      <c r="H1047" s="314"/>
    </row>
    <row r="1048" spans="1:8" ht="24">
      <c r="A1048" s="174" t="s">
        <v>1657</v>
      </c>
      <c r="B1048" s="210" t="s">
        <v>477</v>
      </c>
      <c r="C1048" s="147" t="s">
        <v>432</v>
      </c>
      <c r="D1048" s="147" t="s">
        <v>436</v>
      </c>
      <c r="E1048" s="147" t="s">
        <v>1007</v>
      </c>
      <c r="F1048" s="147" t="s">
        <v>574</v>
      </c>
      <c r="G1048" s="161">
        <v>3206.4</v>
      </c>
      <c r="H1048" s="314"/>
    </row>
    <row r="1049" spans="1:7" ht="24">
      <c r="A1049" s="305" t="s">
        <v>1658</v>
      </c>
      <c r="B1049" s="210" t="s">
        <v>477</v>
      </c>
      <c r="C1049" s="147" t="s">
        <v>432</v>
      </c>
      <c r="D1049" s="147" t="s">
        <v>436</v>
      </c>
      <c r="E1049" s="147" t="s">
        <v>1007</v>
      </c>
      <c r="F1049" s="147" t="s">
        <v>574</v>
      </c>
      <c r="G1049" s="161">
        <v>3309</v>
      </c>
    </row>
    <row r="1050" spans="1:7" ht="24">
      <c r="A1050" s="305" t="s">
        <v>1788</v>
      </c>
      <c r="B1050" s="210" t="s">
        <v>477</v>
      </c>
      <c r="C1050" s="147" t="s">
        <v>432</v>
      </c>
      <c r="D1050" s="147" t="s">
        <v>436</v>
      </c>
      <c r="E1050" s="147" t="s">
        <v>1007</v>
      </c>
      <c r="F1050" s="147" t="s">
        <v>574</v>
      </c>
      <c r="G1050" s="161">
        <v>491.2</v>
      </c>
    </row>
    <row r="1051" spans="1:7" ht="36">
      <c r="A1051" s="174" t="s">
        <v>1221</v>
      </c>
      <c r="B1051" s="210" t="s">
        <v>477</v>
      </c>
      <c r="C1051" s="147" t="s">
        <v>1222</v>
      </c>
      <c r="D1051" s="147" t="s">
        <v>436</v>
      </c>
      <c r="E1051" s="147" t="s">
        <v>1223</v>
      </c>
      <c r="F1051" s="147"/>
      <c r="G1051" s="155">
        <f>G1052</f>
        <v>0</v>
      </c>
    </row>
    <row r="1052" spans="1:7" ht="24">
      <c r="A1052" s="153" t="s">
        <v>1066</v>
      </c>
      <c r="B1052" s="210" t="s">
        <v>477</v>
      </c>
      <c r="C1052" s="147" t="s">
        <v>1222</v>
      </c>
      <c r="D1052" s="147" t="s">
        <v>436</v>
      </c>
      <c r="E1052" s="147" t="s">
        <v>1223</v>
      </c>
      <c r="F1052" s="147" t="s">
        <v>529</v>
      </c>
      <c r="G1052" s="155">
        <f>G1053</f>
        <v>0</v>
      </c>
    </row>
    <row r="1053" spans="1:7" ht="24">
      <c r="A1053" s="153" t="s">
        <v>974</v>
      </c>
      <c r="B1053" s="210" t="s">
        <v>477</v>
      </c>
      <c r="C1053" s="147" t="s">
        <v>1222</v>
      </c>
      <c r="D1053" s="147" t="s">
        <v>436</v>
      </c>
      <c r="E1053" s="147" t="s">
        <v>1223</v>
      </c>
      <c r="F1053" s="147" t="s">
        <v>429</v>
      </c>
      <c r="G1053" s="161">
        <v>0</v>
      </c>
    </row>
    <row r="1054" spans="1:7" ht="24">
      <c r="A1054" s="326" t="s">
        <v>1769</v>
      </c>
      <c r="B1054" s="210" t="s">
        <v>477</v>
      </c>
      <c r="C1054" s="147" t="s">
        <v>1222</v>
      </c>
      <c r="D1054" s="147" t="s">
        <v>436</v>
      </c>
      <c r="E1054" s="147" t="s">
        <v>1770</v>
      </c>
      <c r="F1054" s="147"/>
      <c r="G1054" s="325">
        <f>G1055</f>
        <v>94</v>
      </c>
    </row>
    <row r="1055" spans="1:7" ht="24">
      <c r="A1055" s="153" t="s">
        <v>1066</v>
      </c>
      <c r="B1055" s="210" t="s">
        <v>477</v>
      </c>
      <c r="C1055" s="147" t="s">
        <v>1222</v>
      </c>
      <c r="D1055" s="147" t="s">
        <v>436</v>
      </c>
      <c r="E1055" s="147" t="s">
        <v>1770</v>
      </c>
      <c r="F1055" s="147" t="s">
        <v>529</v>
      </c>
      <c r="G1055" s="325">
        <f>G1056</f>
        <v>94</v>
      </c>
    </row>
    <row r="1056" spans="1:7" ht="24">
      <c r="A1056" s="153" t="s">
        <v>974</v>
      </c>
      <c r="B1056" s="210" t="s">
        <v>477</v>
      </c>
      <c r="C1056" s="147" t="s">
        <v>1222</v>
      </c>
      <c r="D1056" s="147" t="s">
        <v>436</v>
      </c>
      <c r="E1056" s="147" t="s">
        <v>1770</v>
      </c>
      <c r="F1056" s="147" t="s">
        <v>429</v>
      </c>
      <c r="G1056" s="161">
        <v>94</v>
      </c>
    </row>
    <row r="1057" spans="1:7" ht="18.75" customHeight="1">
      <c r="A1057" s="174" t="s">
        <v>1224</v>
      </c>
      <c r="B1057" s="210" t="s">
        <v>477</v>
      </c>
      <c r="C1057" s="147" t="s">
        <v>1222</v>
      </c>
      <c r="D1057" s="147" t="s">
        <v>436</v>
      </c>
      <c r="E1057" s="147" t="s">
        <v>1225</v>
      </c>
      <c r="F1057" s="147"/>
      <c r="G1057" s="155">
        <f>G1058</f>
        <v>9824.3</v>
      </c>
    </row>
    <row r="1058" spans="1:7" ht="24">
      <c r="A1058" s="153" t="s">
        <v>1066</v>
      </c>
      <c r="B1058" s="210" t="s">
        <v>477</v>
      </c>
      <c r="C1058" s="147" t="s">
        <v>1222</v>
      </c>
      <c r="D1058" s="147" t="s">
        <v>436</v>
      </c>
      <c r="E1058" s="147" t="s">
        <v>1225</v>
      </c>
      <c r="F1058" s="147" t="s">
        <v>529</v>
      </c>
      <c r="G1058" s="155">
        <f>G1059</f>
        <v>9824.3</v>
      </c>
    </row>
    <row r="1059" spans="1:7" ht="24">
      <c r="A1059" s="153" t="s">
        <v>974</v>
      </c>
      <c r="B1059" s="210" t="s">
        <v>477</v>
      </c>
      <c r="C1059" s="147" t="s">
        <v>1222</v>
      </c>
      <c r="D1059" s="147" t="s">
        <v>436</v>
      </c>
      <c r="E1059" s="147" t="s">
        <v>1225</v>
      </c>
      <c r="F1059" s="147" t="s">
        <v>429</v>
      </c>
      <c r="G1059" s="161">
        <v>9824.3</v>
      </c>
    </row>
    <row r="1060" spans="1:7" ht="24">
      <c r="A1060" s="153" t="s">
        <v>1600</v>
      </c>
      <c r="B1060" s="210" t="s">
        <v>477</v>
      </c>
      <c r="C1060" s="147" t="s">
        <v>1222</v>
      </c>
      <c r="D1060" s="147" t="s">
        <v>436</v>
      </c>
      <c r="E1060" s="147" t="s">
        <v>1601</v>
      </c>
      <c r="F1060" s="147"/>
      <c r="G1060" s="279">
        <f>G1061+G1064</f>
        <v>150865.1</v>
      </c>
    </row>
    <row r="1061" spans="1:7" ht="96">
      <c r="A1061" s="153" t="s">
        <v>1713</v>
      </c>
      <c r="B1061" s="210" t="s">
        <v>477</v>
      </c>
      <c r="C1061" s="147" t="s">
        <v>1222</v>
      </c>
      <c r="D1061" s="147" t="s">
        <v>436</v>
      </c>
      <c r="E1061" s="147" t="s">
        <v>1714</v>
      </c>
      <c r="F1061" s="147"/>
      <c r="G1061" s="279">
        <f>G1062</f>
        <v>142500</v>
      </c>
    </row>
    <row r="1062" spans="1:7" ht="15" customHeight="1">
      <c r="A1062" s="153" t="s">
        <v>1066</v>
      </c>
      <c r="B1062" s="210" t="s">
        <v>477</v>
      </c>
      <c r="C1062" s="147" t="s">
        <v>1222</v>
      </c>
      <c r="D1062" s="147" t="s">
        <v>436</v>
      </c>
      <c r="E1062" s="147" t="s">
        <v>1714</v>
      </c>
      <c r="F1062" s="147" t="s">
        <v>529</v>
      </c>
      <c r="G1062" s="279">
        <f>G1063</f>
        <v>142500</v>
      </c>
    </row>
    <row r="1063" spans="1:7" ht="24">
      <c r="A1063" s="153" t="s">
        <v>974</v>
      </c>
      <c r="B1063" s="210" t="s">
        <v>477</v>
      </c>
      <c r="C1063" s="147" t="s">
        <v>1222</v>
      </c>
      <c r="D1063" s="147" t="s">
        <v>436</v>
      </c>
      <c r="E1063" s="147" t="s">
        <v>1714</v>
      </c>
      <c r="F1063" s="147" t="s">
        <v>429</v>
      </c>
      <c r="G1063" s="158">
        <v>142500</v>
      </c>
    </row>
    <row r="1064" spans="1:7" ht="27.75" customHeight="1">
      <c r="A1064" s="152" t="s">
        <v>1602</v>
      </c>
      <c r="B1064" s="210" t="s">
        <v>477</v>
      </c>
      <c r="C1064" s="147" t="s">
        <v>1222</v>
      </c>
      <c r="D1064" s="147" t="s">
        <v>436</v>
      </c>
      <c r="E1064" s="147" t="s">
        <v>1603</v>
      </c>
      <c r="F1064" s="147"/>
      <c r="G1064" s="279">
        <f>G1065</f>
        <v>8365.1</v>
      </c>
    </row>
    <row r="1065" spans="1:7" ht="18" customHeight="1">
      <c r="A1065" s="153" t="s">
        <v>1066</v>
      </c>
      <c r="B1065" s="210" t="s">
        <v>477</v>
      </c>
      <c r="C1065" s="147" t="s">
        <v>1222</v>
      </c>
      <c r="D1065" s="147" t="s">
        <v>436</v>
      </c>
      <c r="E1065" s="147" t="s">
        <v>1603</v>
      </c>
      <c r="F1065" s="147" t="s">
        <v>529</v>
      </c>
      <c r="G1065" s="279">
        <f>G1066</f>
        <v>8365.1</v>
      </c>
    </row>
    <row r="1066" spans="1:7" ht="24">
      <c r="A1066" s="153" t="s">
        <v>974</v>
      </c>
      <c r="B1066" s="210" t="s">
        <v>477</v>
      </c>
      <c r="C1066" s="147" t="s">
        <v>1222</v>
      </c>
      <c r="D1066" s="147" t="s">
        <v>436</v>
      </c>
      <c r="E1066" s="147" t="s">
        <v>1603</v>
      </c>
      <c r="F1066" s="147" t="s">
        <v>429</v>
      </c>
      <c r="G1066" s="161">
        <f>7500+665.1+200</f>
        <v>8365.1</v>
      </c>
    </row>
    <row r="1067" spans="1:7" ht="60">
      <c r="A1067" s="152" t="s">
        <v>1311</v>
      </c>
      <c r="B1067" s="210" t="s">
        <v>477</v>
      </c>
      <c r="C1067" s="147" t="s">
        <v>432</v>
      </c>
      <c r="D1067" s="147" t="s">
        <v>436</v>
      </c>
      <c r="E1067" s="147" t="s">
        <v>846</v>
      </c>
      <c r="F1067" s="147"/>
      <c r="G1067" s="155">
        <f>G1068</f>
        <v>61412.5</v>
      </c>
    </row>
    <row r="1068" spans="1:7" ht="36">
      <c r="A1068" s="15" t="s">
        <v>1226</v>
      </c>
      <c r="B1068" s="210" t="s">
        <v>477</v>
      </c>
      <c r="C1068" s="147" t="s">
        <v>432</v>
      </c>
      <c r="D1068" s="147" t="s">
        <v>436</v>
      </c>
      <c r="E1068" s="147" t="s">
        <v>847</v>
      </c>
      <c r="F1068" s="147"/>
      <c r="G1068" s="155">
        <f>G1069+G1073+G1075</f>
        <v>61412.5</v>
      </c>
    </row>
    <row r="1069" spans="1:7" ht="24">
      <c r="A1069" s="157" t="s">
        <v>1006</v>
      </c>
      <c r="B1069" s="210" t="s">
        <v>477</v>
      </c>
      <c r="C1069" s="147" t="s">
        <v>432</v>
      </c>
      <c r="D1069" s="147" t="s">
        <v>436</v>
      </c>
      <c r="E1069" s="147" t="s">
        <v>1729</v>
      </c>
      <c r="F1069" s="147"/>
      <c r="G1069" s="155">
        <f>G1070</f>
        <v>4786</v>
      </c>
    </row>
    <row r="1070" spans="1:7" ht="24">
      <c r="A1070" s="153" t="s">
        <v>1066</v>
      </c>
      <c r="B1070" s="210" t="s">
        <v>477</v>
      </c>
      <c r="C1070" s="147" t="s">
        <v>432</v>
      </c>
      <c r="D1070" s="147" t="s">
        <v>436</v>
      </c>
      <c r="E1070" s="147" t="s">
        <v>1729</v>
      </c>
      <c r="F1070" s="147" t="s">
        <v>529</v>
      </c>
      <c r="G1070" s="155">
        <f>G1071</f>
        <v>4786</v>
      </c>
    </row>
    <row r="1071" spans="1:7" ht="24">
      <c r="A1071" s="153" t="s">
        <v>974</v>
      </c>
      <c r="B1071" s="210" t="s">
        <v>477</v>
      </c>
      <c r="C1071" s="147" t="s">
        <v>432</v>
      </c>
      <c r="D1071" s="147" t="s">
        <v>436</v>
      </c>
      <c r="E1071" s="147" t="s">
        <v>1729</v>
      </c>
      <c r="F1071" s="147" t="s">
        <v>429</v>
      </c>
      <c r="G1071" s="158">
        <v>4786</v>
      </c>
    </row>
    <row r="1072" spans="1:7" ht="24">
      <c r="A1072" s="15" t="s">
        <v>78</v>
      </c>
      <c r="B1072" s="210" t="s">
        <v>477</v>
      </c>
      <c r="C1072" s="147" t="s">
        <v>432</v>
      </c>
      <c r="D1072" s="147" t="s">
        <v>436</v>
      </c>
      <c r="E1072" s="147" t="s">
        <v>79</v>
      </c>
      <c r="F1072" s="147"/>
      <c r="G1072" s="155">
        <f>G1073</f>
        <v>55551.5</v>
      </c>
    </row>
    <row r="1073" spans="1:7" ht="24">
      <c r="A1073" s="153" t="s">
        <v>1066</v>
      </c>
      <c r="B1073" s="210" t="s">
        <v>477</v>
      </c>
      <c r="C1073" s="147" t="s">
        <v>432</v>
      </c>
      <c r="D1073" s="147" t="s">
        <v>436</v>
      </c>
      <c r="E1073" s="147" t="s">
        <v>79</v>
      </c>
      <c r="F1073" s="147" t="s">
        <v>529</v>
      </c>
      <c r="G1073" s="155">
        <f>G1074</f>
        <v>55551.5</v>
      </c>
    </row>
    <row r="1074" spans="1:7" ht="24">
      <c r="A1074" s="153" t="s">
        <v>974</v>
      </c>
      <c r="B1074" s="210" t="s">
        <v>477</v>
      </c>
      <c r="C1074" s="147" t="s">
        <v>432</v>
      </c>
      <c r="D1074" s="147" t="s">
        <v>436</v>
      </c>
      <c r="E1074" s="147" t="s">
        <v>79</v>
      </c>
      <c r="F1074" s="147" t="s">
        <v>429</v>
      </c>
      <c r="G1074" s="158">
        <f>10600+21605.3+1738.9+3455.3+5282+12870</f>
        <v>55551.5</v>
      </c>
    </row>
    <row r="1075" spans="1:7" ht="36">
      <c r="A1075" s="153" t="s">
        <v>1604</v>
      </c>
      <c r="B1075" s="210" t="s">
        <v>477</v>
      </c>
      <c r="C1075" s="147" t="s">
        <v>432</v>
      </c>
      <c r="D1075" s="147" t="s">
        <v>436</v>
      </c>
      <c r="E1075" s="147" t="s">
        <v>1605</v>
      </c>
      <c r="F1075" s="147"/>
      <c r="G1075" s="279">
        <f>G1076</f>
        <v>1075</v>
      </c>
    </row>
    <row r="1076" spans="1:7" ht="24">
      <c r="A1076" s="153" t="s">
        <v>1066</v>
      </c>
      <c r="B1076" s="210" t="s">
        <v>477</v>
      </c>
      <c r="C1076" s="147" t="s">
        <v>432</v>
      </c>
      <c r="D1076" s="147" t="s">
        <v>436</v>
      </c>
      <c r="E1076" s="147" t="s">
        <v>1605</v>
      </c>
      <c r="F1076" s="147" t="s">
        <v>529</v>
      </c>
      <c r="G1076" s="279">
        <f>G1077</f>
        <v>1075</v>
      </c>
    </row>
    <row r="1077" spans="1:7" ht="24">
      <c r="A1077" s="153" t="s">
        <v>974</v>
      </c>
      <c r="B1077" s="210" t="s">
        <v>477</v>
      </c>
      <c r="C1077" s="147" t="s">
        <v>432</v>
      </c>
      <c r="D1077" s="147" t="s">
        <v>436</v>
      </c>
      <c r="E1077" s="147" t="s">
        <v>1605</v>
      </c>
      <c r="F1077" s="147" t="s">
        <v>429</v>
      </c>
      <c r="G1077" s="158">
        <v>1075</v>
      </c>
    </row>
    <row r="1078" spans="1:7" ht="24">
      <c r="A1078" s="164" t="s">
        <v>1279</v>
      </c>
      <c r="B1078" s="210" t="s">
        <v>477</v>
      </c>
      <c r="C1078" s="147" t="s">
        <v>432</v>
      </c>
      <c r="D1078" s="147" t="s">
        <v>436</v>
      </c>
      <c r="E1078" s="147" t="s">
        <v>137</v>
      </c>
      <c r="F1078" s="147"/>
      <c r="G1078" s="155">
        <f>G1079</f>
        <v>22485</v>
      </c>
    </row>
    <row r="1079" spans="1:7" ht="24">
      <c r="A1079" s="153" t="s">
        <v>1298</v>
      </c>
      <c r="B1079" s="210" t="s">
        <v>477</v>
      </c>
      <c r="C1079" s="147" t="s">
        <v>432</v>
      </c>
      <c r="D1079" s="147" t="s">
        <v>436</v>
      </c>
      <c r="E1079" s="147" t="s">
        <v>243</v>
      </c>
      <c r="F1079" s="147"/>
      <c r="G1079" s="155">
        <f>G1081+G1085</f>
        <v>22485</v>
      </c>
    </row>
    <row r="1080" spans="1:7" ht="24">
      <c r="A1080" s="153" t="s">
        <v>1492</v>
      </c>
      <c r="B1080" s="210" t="s">
        <v>477</v>
      </c>
      <c r="C1080" s="147" t="s">
        <v>432</v>
      </c>
      <c r="D1080" s="147" t="s">
        <v>436</v>
      </c>
      <c r="E1080" s="147" t="s">
        <v>1008</v>
      </c>
      <c r="F1080" s="147"/>
      <c r="G1080" s="155">
        <f>G1081</f>
        <v>14176</v>
      </c>
    </row>
    <row r="1081" spans="1:7" ht="24">
      <c r="A1081" s="152" t="s">
        <v>493</v>
      </c>
      <c r="B1081" s="210" t="s">
        <v>477</v>
      </c>
      <c r="C1081" s="147" t="s">
        <v>432</v>
      </c>
      <c r="D1081" s="147" t="s">
        <v>436</v>
      </c>
      <c r="E1081" s="147" t="s">
        <v>1009</v>
      </c>
      <c r="F1081" s="147"/>
      <c r="G1081" s="155">
        <f>G1082</f>
        <v>14176</v>
      </c>
    </row>
    <row r="1082" spans="1:7" ht="24">
      <c r="A1082" s="152" t="s">
        <v>490</v>
      </c>
      <c r="B1082" s="210" t="s">
        <v>477</v>
      </c>
      <c r="C1082" s="147" t="s">
        <v>432</v>
      </c>
      <c r="D1082" s="147" t="s">
        <v>436</v>
      </c>
      <c r="E1082" s="147" t="s">
        <v>1009</v>
      </c>
      <c r="F1082" s="147" t="s">
        <v>489</v>
      </c>
      <c r="G1082" s="155">
        <f>G1083</f>
        <v>14176</v>
      </c>
    </row>
    <row r="1083" spans="1:7" ht="19.5" customHeight="1">
      <c r="A1083" s="157" t="s">
        <v>371</v>
      </c>
      <c r="B1083" s="210" t="s">
        <v>477</v>
      </c>
      <c r="C1083" s="147" t="s">
        <v>432</v>
      </c>
      <c r="D1083" s="147" t="s">
        <v>436</v>
      </c>
      <c r="E1083" s="147" t="s">
        <v>1009</v>
      </c>
      <c r="F1083" s="147" t="s">
        <v>574</v>
      </c>
      <c r="G1083" s="158">
        <f>15980+G1084-1824</f>
        <v>14176</v>
      </c>
    </row>
    <row r="1084" spans="1:7" ht="72">
      <c r="A1084" s="157" t="s">
        <v>1260</v>
      </c>
      <c r="B1084" s="210" t="s">
        <v>477</v>
      </c>
      <c r="C1084" s="147" t="s">
        <v>432</v>
      </c>
      <c r="D1084" s="147" t="s">
        <v>436</v>
      </c>
      <c r="E1084" s="147" t="s">
        <v>1009</v>
      </c>
      <c r="F1084" s="147" t="s">
        <v>574</v>
      </c>
      <c r="G1084" s="158">
        <v>20</v>
      </c>
    </row>
    <row r="1085" spans="1:7" ht="24">
      <c r="A1085" s="157" t="s">
        <v>1794</v>
      </c>
      <c r="B1085" s="210" t="s">
        <v>477</v>
      </c>
      <c r="C1085" s="147" t="s">
        <v>432</v>
      </c>
      <c r="D1085" s="147" t="s">
        <v>436</v>
      </c>
      <c r="E1085" s="147" t="s">
        <v>1793</v>
      </c>
      <c r="F1085" s="147"/>
      <c r="G1085" s="325">
        <f>G1086</f>
        <v>8309</v>
      </c>
    </row>
    <row r="1086" spans="1:7" ht="24">
      <c r="A1086" s="153" t="s">
        <v>841</v>
      </c>
      <c r="B1086" s="210" t="s">
        <v>477</v>
      </c>
      <c r="C1086" s="147" t="s">
        <v>432</v>
      </c>
      <c r="D1086" s="147" t="s">
        <v>436</v>
      </c>
      <c r="E1086" s="147" t="s">
        <v>1792</v>
      </c>
      <c r="F1086" s="147"/>
      <c r="G1086" s="155">
        <f>G1087+G1089</f>
        <v>8309</v>
      </c>
    </row>
    <row r="1087" spans="1:7" ht="48">
      <c r="A1087" s="153" t="s">
        <v>1065</v>
      </c>
      <c r="B1087" s="210" t="s">
        <v>477</v>
      </c>
      <c r="C1087" s="147" t="s">
        <v>432</v>
      </c>
      <c r="D1087" s="147" t="s">
        <v>436</v>
      </c>
      <c r="E1087" s="147" t="s">
        <v>1792</v>
      </c>
      <c r="F1087" s="147" t="s">
        <v>960</v>
      </c>
      <c r="G1087" s="155">
        <f>G1088</f>
        <v>6689</v>
      </c>
    </row>
    <row r="1088" spans="1:7" ht="24">
      <c r="A1088" s="152" t="s">
        <v>1165</v>
      </c>
      <c r="B1088" s="210" t="s">
        <v>477</v>
      </c>
      <c r="C1088" s="147" t="s">
        <v>432</v>
      </c>
      <c r="D1088" s="147" t="s">
        <v>436</v>
      </c>
      <c r="E1088" s="147" t="s">
        <v>1792</v>
      </c>
      <c r="F1088" s="147" t="s">
        <v>1166</v>
      </c>
      <c r="G1088" s="158">
        <v>6689</v>
      </c>
    </row>
    <row r="1089" spans="1:7" ht="24">
      <c r="A1089" s="153" t="s">
        <v>1066</v>
      </c>
      <c r="B1089" s="210" t="s">
        <v>477</v>
      </c>
      <c r="C1089" s="147" t="s">
        <v>432</v>
      </c>
      <c r="D1089" s="147" t="s">
        <v>436</v>
      </c>
      <c r="E1089" s="147" t="s">
        <v>1792</v>
      </c>
      <c r="F1089" s="147" t="s">
        <v>529</v>
      </c>
      <c r="G1089" s="155">
        <f>G1090</f>
        <v>1620</v>
      </c>
    </row>
    <row r="1090" spans="1:7" ht="24">
      <c r="A1090" s="153" t="s">
        <v>591</v>
      </c>
      <c r="B1090" s="210" t="s">
        <v>477</v>
      </c>
      <c r="C1090" s="147" t="s">
        <v>432</v>
      </c>
      <c r="D1090" s="147" t="s">
        <v>436</v>
      </c>
      <c r="E1090" s="147" t="s">
        <v>1792</v>
      </c>
      <c r="F1090" s="147" t="s">
        <v>429</v>
      </c>
      <c r="G1090" s="158">
        <v>1620</v>
      </c>
    </row>
    <row r="1091" spans="1:7" ht="24">
      <c r="A1091" s="160" t="s">
        <v>1268</v>
      </c>
      <c r="B1091" s="210" t="s">
        <v>477</v>
      </c>
      <c r="C1091" s="147" t="s">
        <v>432</v>
      </c>
      <c r="D1091" s="147" t="s">
        <v>436</v>
      </c>
      <c r="E1091" s="147" t="s">
        <v>733</v>
      </c>
      <c r="F1091" s="147"/>
      <c r="G1091" s="279">
        <f>G1092</f>
        <v>750</v>
      </c>
    </row>
    <row r="1092" spans="1:7" ht="24">
      <c r="A1092" s="152" t="s">
        <v>1278</v>
      </c>
      <c r="B1092" s="210" t="s">
        <v>477</v>
      </c>
      <c r="C1092" s="147" t="s">
        <v>432</v>
      </c>
      <c r="D1092" s="147" t="s">
        <v>436</v>
      </c>
      <c r="E1092" s="147" t="s">
        <v>948</v>
      </c>
      <c r="F1092" s="147"/>
      <c r="G1092" s="279">
        <f>G1093</f>
        <v>750</v>
      </c>
    </row>
    <row r="1093" spans="1:7" ht="24">
      <c r="A1093" s="152" t="s">
        <v>1660</v>
      </c>
      <c r="B1093" s="210" t="s">
        <v>477</v>
      </c>
      <c r="C1093" s="147" t="s">
        <v>432</v>
      </c>
      <c r="D1093" s="147" t="s">
        <v>436</v>
      </c>
      <c r="E1093" s="147" t="s">
        <v>1661</v>
      </c>
      <c r="F1093" s="147"/>
      <c r="G1093" s="279">
        <f>G1094</f>
        <v>750</v>
      </c>
    </row>
    <row r="1094" spans="1:7" ht="24" customHeight="1">
      <c r="A1094" s="157" t="s">
        <v>1662</v>
      </c>
      <c r="B1094" s="210" t="s">
        <v>477</v>
      </c>
      <c r="C1094" s="147" t="s">
        <v>432</v>
      </c>
      <c r="D1094" s="147" t="s">
        <v>436</v>
      </c>
      <c r="E1094" s="147" t="s">
        <v>1663</v>
      </c>
      <c r="F1094" s="147"/>
      <c r="G1094" s="279">
        <f>G1095</f>
        <v>750</v>
      </c>
    </row>
    <row r="1095" spans="1:7" ht="20.25" customHeight="1">
      <c r="A1095" s="153" t="s">
        <v>1066</v>
      </c>
      <c r="B1095" s="210" t="s">
        <v>477</v>
      </c>
      <c r="C1095" s="147" t="s">
        <v>432</v>
      </c>
      <c r="D1095" s="147" t="s">
        <v>436</v>
      </c>
      <c r="E1095" s="147" t="s">
        <v>1663</v>
      </c>
      <c r="F1095" s="147" t="s">
        <v>529</v>
      </c>
      <c r="G1095" s="279">
        <f>G1096</f>
        <v>750</v>
      </c>
    </row>
    <row r="1096" spans="1:7" ht="24">
      <c r="A1096" s="153" t="s">
        <v>974</v>
      </c>
      <c r="B1096" s="210" t="s">
        <v>477</v>
      </c>
      <c r="C1096" s="147" t="s">
        <v>432</v>
      </c>
      <c r="D1096" s="147" t="s">
        <v>436</v>
      </c>
      <c r="E1096" s="147" t="s">
        <v>1663</v>
      </c>
      <c r="F1096" s="147" t="s">
        <v>429</v>
      </c>
      <c r="G1096" s="158">
        <v>750</v>
      </c>
    </row>
    <row r="1097" spans="1:7" ht="36">
      <c r="A1097" s="160" t="s">
        <v>1537</v>
      </c>
      <c r="B1097" s="210" t="s">
        <v>477</v>
      </c>
      <c r="C1097" s="147" t="s">
        <v>432</v>
      </c>
      <c r="D1097" s="147" t="s">
        <v>436</v>
      </c>
      <c r="E1097" s="147" t="s">
        <v>1010</v>
      </c>
      <c r="F1097" s="147"/>
      <c r="G1097" s="155">
        <f>G1098+G1102+G1106</f>
        <v>3165</v>
      </c>
    </row>
    <row r="1098" spans="1:7" ht="84">
      <c r="A1098" s="152" t="s">
        <v>1551</v>
      </c>
      <c r="B1098" s="210" t="s">
        <v>477</v>
      </c>
      <c r="C1098" s="147" t="s">
        <v>432</v>
      </c>
      <c r="D1098" s="147" t="s">
        <v>436</v>
      </c>
      <c r="E1098" s="147" t="s">
        <v>1552</v>
      </c>
      <c r="F1098" s="147"/>
      <c r="G1098" s="155">
        <f>G1099</f>
        <v>1575</v>
      </c>
    </row>
    <row r="1099" spans="1:7" ht="24">
      <c r="A1099" s="157" t="s">
        <v>903</v>
      </c>
      <c r="B1099" s="210" t="s">
        <v>477</v>
      </c>
      <c r="C1099" s="147" t="s">
        <v>432</v>
      </c>
      <c r="D1099" s="147" t="s">
        <v>436</v>
      </c>
      <c r="E1099" s="147" t="s">
        <v>1553</v>
      </c>
      <c r="F1099" s="147"/>
      <c r="G1099" s="155">
        <f>G1100</f>
        <v>1575</v>
      </c>
    </row>
    <row r="1100" spans="1:7" ht="24">
      <c r="A1100" s="152" t="s">
        <v>490</v>
      </c>
      <c r="B1100" s="210" t="s">
        <v>477</v>
      </c>
      <c r="C1100" s="147" t="s">
        <v>432</v>
      </c>
      <c r="D1100" s="147" t="s">
        <v>436</v>
      </c>
      <c r="E1100" s="147" t="s">
        <v>1553</v>
      </c>
      <c r="F1100" s="147" t="s">
        <v>489</v>
      </c>
      <c r="G1100" s="155">
        <f>G1101</f>
        <v>1575</v>
      </c>
    </row>
    <row r="1101" spans="1:7" ht="24">
      <c r="A1101" s="157" t="s">
        <v>573</v>
      </c>
      <c r="B1101" s="210" t="s">
        <v>477</v>
      </c>
      <c r="C1101" s="147" t="s">
        <v>432</v>
      </c>
      <c r="D1101" s="147" t="s">
        <v>436</v>
      </c>
      <c r="E1101" s="147" t="s">
        <v>1553</v>
      </c>
      <c r="F1101" s="147" t="s">
        <v>574</v>
      </c>
      <c r="G1101" s="158">
        <v>1575</v>
      </c>
    </row>
    <row r="1102" spans="1:7" ht="48">
      <c r="A1102" s="157" t="s">
        <v>1585</v>
      </c>
      <c r="B1102" s="210" t="s">
        <v>477</v>
      </c>
      <c r="C1102" s="147" t="s">
        <v>432</v>
      </c>
      <c r="D1102" s="147" t="s">
        <v>436</v>
      </c>
      <c r="E1102" s="147" t="s">
        <v>1555</v>
      </c>
      <c r="F1102" s="147"/>
      <c r="G1102" s="279">
        <f>G1103</f>
        <v>1590</v>
      </c>
    </row>
    <row r="1103" spans="1:7" ht="24">
      <c r="A1103" s="157" t="s">
        <v>1231</v>
      </c>
      <c r="B1103" s="210" t="s">
        <v>477</v>
      </c>
      <c r="C1103" s="147" t="s">
        <v>432</v>
      </c>
      <c r="D1103" s="147" t="s">
        <v>436</v>
      </c>
      <c r="E1103" s="147" t="s">
        <v>1556</v>
      </c>
      <c r="F1103" s="147"/>
      <c r="G1103" s="279">
        <f>G1104</f>
        <v>1590</v>
      </c>
    </row>
    <row r="1104" spans="1:7" ht="24">
      <c r="A1104" s="152" t="s">
        <v>490</v>
      </c>
      <c r="B1104" s="210" t="s">
        <v>477</v>
      </c>
      <c r="C1104" s="147" t="s">
        <v>432</v>
      </c>
      <c r="D1104" s="147" t="s">
        <v>436</v>
      </c>
      <c r="E1104" s="147" t="s">
        <v>1556</v>
      </c>
      <c r="F1104" s="147" t="s">
        <v>489</v>
      </c>
      <c r="G1104" s="279">
        <f>G1105</f>
        <v>1590</v>
      </c>
    </row>
    <row r="1105" spans="1:7" ht="24">
      <c r="A1105" s="157" t="s">
        <v>573</v>
      </c>
      <c r="B1105" s="210" t="s">
        <v>477</v>
      </c>
      <c r="C1105" s="147" t="s">
        <v>432</v>
      </c>
      <c r="D1105" s="147" t="s">
        <v>436</v>
      </c>
      <c r="E1105" s="147" t="s">
        <v>1556</v>
      </c>
      <c r="F1105" s="147" t="s">
        <v>574</v>
      </c>
      <c r="G1105" s="158">
        <v>1590</v>
      </c>
    </row>
    <row r="1106" spans="1:7" ht="24">
      <c r="A1106" s="157" t="s">
        <v>1293</v>
      </c>
      <c r="B1106" s="210" t="s">
        <v>477</v>
      </c>
      <c r="C1106" s="147" t="s">
        <v>432</v>
      </c>
      <c r="D1106" s="147" t="s">
        <v>436</v>
      </c>
      <c r="E1106" s="147" t="s">
        <v>1011</v>
      </c>
      <c r="F1106" s="147"/>
      <c r="G1106" s="155">
        <f>G1107</f>
        <v>0</v>
      </c>
    </row>
    <row r="1107" spans="1:7" ht="24">
      <c r="A1107" s="157" t="s">
        <v>1227</v>
      </c>
      <c r="B1107" s="210" t="s">
        <v>477</v>
      </c>
      <c r="C1107" s="147" t="s">
        <v>432</v>
      </c>
      <c r="D1107" s="147" t="s">
        <v>436</v>
      </c>
      <c r="E1107" s="147" t="s">
        <v>1228</v>
      </c>
      <c r="F1107" s="147"/>
      <c r="G1107" s="155">
        <f>G1108+G1111</f>
        <v>0</v>
      </c>
    </row>
    <row r="1108" spans="1:7" ht="20.25" customHeight="1">
      <c r="A1108" s="157" t="s">
        <v>903</v>
      </c>
      <c r="B1108" s="210" t="s">
        <v>477</v>
      </c>
      <c r="C1108" s="147" t="s">
        <v>432</v>
      </c>
      <c r="D1108" s="147" t="s">
        <v>436</v>
      </c>
      <c r="E1108" s="147" t="s">
        <v>1229</v>
      </c>
      <c r="F1108" s="147"/>
      <c r="G1108" s="155">
        <f>G1109</f>
        <v>0</v>
      </c>
    </row>
    <row r="1109" spans="1:7" ht="24">
      <c r="A1109" s="152" t="s">
        <v>490</v>
      </c>
      <c r="B1109" s="210" t="s">
        <v>477</v>
      </c>
      <c r="C1109" s="147" t="s">
        <v>432</v>
      </c>
      <c r="D1109" s="147" t="s">
        <v>436</v>
      </c>
      <c r="E1109" s="147" t="s">
        <v>1229</v>
      </c>
      <c r="F1109" s="147" t="s">
        <v>489</v>
      </c>
      <c r="G1109" s="155">
        <f>G1110</f>
        <v>0</v>
      </c>
    </row>
    <row r="1110" spans="1:7" ht="24">
      <c r="A1110" s="157" t="s">
        <v>573</v>
      </c>
      <c r="B1110" s="210" t="s">
        <v>477</v>
      </c>
      <c r="C1110" s="147" t="s">
        <v>432</v>
      </c>
      <c r="D1110" s="147" t="s">
        <v>436</v>
      </c>
      <c r="E1110" s="147" t="s">
        <v>1229</v>
      </c>
      <c r="F1110" s="147" t="s">
        <v>574</v>
      </c>
      <c r="G1110" s="158">
        <f>1575-1575</f>
        <v>0</v>
      </c>
    </row>
    <row r="1111" spans="1:7" ht="36">
      <c r="A1111" s="157" t="s">
        <v>1230</v>
      </c>
      <c r="B1111" s="210" t="s">
        <v>477</v>
      </c>
      <c r="C1111" s="147" t="s">
        <v>432</v>
      </c>
      <c r="D1111" s="147" t="s">
        <v>436</v>
      </c>
      <c r="E1111" s="147" t="s">
        <v>902</v>
      </c>
      <c r="F1111" s="147"/>
      <c r="G1111" s="155">
        <f>G1112</f>
        <v>0</v>
      </c>
    </row>
    <row r="1112" spans="1:7" ht="24">
      <c r="A1112" s="157" t="s">
        <v>1231</v>
      </c>
      <c r="B1112" s="210" t="s">
        <v>477</v>
      </c>
      <c r="C1112" s="147" t="s">
        <v>432</v>
      </c>
      <c r="D1112" s="147" t="s">
        <v>436</v>
      </c>
      <c r="E1112" s="147" t="s">
        <v>303</v>
      </c>
      <c r="F1112" s="147"/>
      <c r="G1112" s="155">
        <f>G1113</f>
        <v>0</v>
      </c>
    </row>
    <row r="1113" spans="1:7" ht="24">
      <c r="A1113" s="152" t="s">
        <v>490</v>
      </c>
      <c r="B1113" s="210" t="s">
        <v>477</v>
      </c>
      <c r="C1113" s="147" t="s">
        <v>432</v>
      </c>
      <c r="D1113" s="147" t="s">
        <v>436</v>
      </c>
      <c r="E1113" s="147" t="s">
        <v>303</v>
      </c>
      <c r="F1113" s="147" t="s">
        <v>489</v>
      </c>
      <c r="G1113" s="155">
        <f>G1114</f>
        <v>0</v>
      </c>
    </row>
    <row r="1114" spans="1:7" ht="24">
      <c r="A1114" s="157" t="s">
        <v>573</v>
      </c>
      <c r="B1114" s="210" t="s">
        <v>477</v>
      </c>
      <c r="C1114" s="147" t="s">
        <v>432</v>
      </c>
      <c r="D1114" s="147" t="s">
        <v>436</v>
      </c>
      <c r="E1114" s="147" t="s">
        <v>303</v>
      </c>
      <c r="F1114" s="147" t="s">
        <v>574</v>
      </c>
      <c r="G1114" s="158">
        <f>1590-1590</f>
        <v>0</v>
      </c>
    </row>
    <row r="1115" spans="1:7" ht="24">
      <c r="A1115" s="164" t="s">
        <v>1339</v>
      </c>
      <c r="B1115" s="210" t="s">
        <v>477</v>
      </c>
      <c r="C1115" s="147" t="s">
        <v>432</v>
      </c>
      <c r="D1115" s="147" t="s">
        <v>436</v>
      </c>
      <c r="E1115" s="147" t="s">
        <v>904</v>
      </c>
      <c r="F1115" s="147"/>
      <c r="G1115" s="155">
        <f>G1116</f>
        <v>194301.59999999998</v>
      </c>
    </row>
    <row r="1116" spans="1:7" ht="24">
      <c r="A1116" s="152" t="s">
        <v>1340</v>
      </c>
      <c r="B1116" s="210" t="s">
        <v>477</v>
      </c>
      <c r="C1116" s="147" t="s">
        <v>432</v>
      </c>
      <c r="D1116" s="147" t="s">
        <v>436</v>
      </c>
      <c r="E1116" s="147" t="s">
        <v>905</v>
      </c>
      <c r="F1116" s="147"/>
      <c r="G1116" s="155">
        <f>G1117+G1136</f>
        <v>194301.59999999998</v>
      </c>
    </row>
    <row r="1117" spans="1:7" ht="24">
      <c r="A1117" s="152" t="s">
        <v>906</v>
      </c>
      <c r="B1117" s="210" t="s">
        <v>477</v>
      </c>
      <c r="C1117" s="147" t="s">
        <v>432</v>
      </c>
      <c r="D1117" s="147" t="s">
        <v>436</v>
      </c>
      <c r="E1117" s="147" t="s">
        <v>908</v>
      </c>
      <c r="F1117" s="147"/>
      <c r="G1117" s="155">
        <f>G1118+G1130+G1121+G1124+G1127+G1133</f>
        <v>194301.59999999998</v>
      </c>
    </row>
    <row r="1118" spans="1:7" ht="24">
      <c r="A1118" s="157" t="s">
        <v>907</v>
      </c>
      <c r="B1118" s="210" t="s">
        <v>477</v>
      </c>
      <c r="C1118" s="147" t="s">
        <v>432</v>
      </c>
      <c r="D1118" s="147" t="s">
        <v>436</v>
      </c>
      <c r="E1118" s="147" t="s">
        <v>909</v>
      </c>
      <c r="F1118" s="147"/>
      <c r="G1118" s="155">
        <f>G1119</f>
        <v>111804.7</v>
      </c>
    </row>
    <row r="1119" spans="1:7" ht="24">
      <c r="A1119" s="153" t="s">
        <v>1066</v>
      </c>
      <c r="B1119" s="210" t="s">
        <v>477</v>
      </c>
      <c r="C1119" s="147" t="s">
        <v>432</v>
      </c>
      <c r="D1119" s="147" t="s">
        <v>436</v>
      </c>
      <c r="E1119" s="147" t="s">
        <v>909</v>
      </c>
      <c r="F1119" s="147" t="s">
        <v>529</v>
      </c>
      <c r="G1119" s="155">
        <f>G1120</f>
        <v>111804.7</v>
      </c>
    </row>
    <row r="1120" spans="1:7" ht="24">
      <c r="A1120" s="153" t="s">
        <v>591</v>
      </c>
      <c r="B1120" s="210" t="s">
        <v>477</v>
      </c>
      <c r="C1120" s="147" t="s">
        <v>432</v>
      </c>
      <c r="D1120" s="147" t="s">
        <v>436</v>
      </c>
      <c r="E1120" s="147" t="s">
        <v>909</v>
      </c>
      <c r="F1120" s="147" t="s">
        <v>429</v>
      </c>
      <c r="G1120" s="158">
        <f>86000+23141-4250+6500+413.7</f>
        <v>111804.7</v>
      </c>
    </row>
    <row r="1121" spans="1:7" ht="60">
      <c r="A1121" s="152" t="s">
        <v>1664</v>
      </c>
      <c r="B1121" s="210" t="s">
        <v>477</v>
      </c>
      <c r="C1121" s="147" t="s">
        <v>432</v>
      </c>
      <c r="D1121" s="147" t="s">
        <v>436</v>
      </c>
      <c r="E1121" s="147" t="s">
        <v>1665</v>
      </c>
      <c r="F1121" s="147"/>
      <c r="G1121" s="279">
        <f>G1122</f>
        <v>2386.4</v>
      </c>
    </row>
    <row r="1122" spans="1:7" ht="24">
      <c r="A1122" s="153" t="s">
        <v>1066</v>
      </c>
      <c r="B1122" s="210" t="s">
        <v>477</v>
      </c>
      <c r="C1122" s="147" t="s">
        <v>432</v>
      </c>
      <c r="D1122" s="147" t="s">
        <v>436</v>
      </c>
      <c r="E1122" s="147" t="s">
        <v>1665</v>
      </c>
      <c r="F1122" s="147" t="s">
        <v>529</v>
      </c>
      <c r="G1122" s="279">
        <f>G1123</f>
        <v>2386.4</v>
      </c>
    </row>
    <row r="1123" spans="1:7" ht="24">
      <c r="A1123" s="153" t="s">
        <v>591</v>
      </c>
      <c r="B1123" s="210" t="s">
        <v>477</v>
      </c>
      <c r="C1123" s="147" t="s">
        <v>432</v>
      </c>
      <c r="D1123" s="147" t="s">
        <v>436</v>
      </c>
      <c r="E1123" s="147" t="s">
        <v>1665</v>
      </c>
      <c r="F1123" s="147" t="s">
        <v>429</v>
      </c>
      <c r="G1123" s="158">
        <f>1161+1225.4</f>
        <v>2386.4</v>
      </c>
    </row>
    <row r="1124" spans="1:7" ht="24">
      <c r="A1124" s="153" t="s">
        <v>1666</v>
      </c>
      <c r="B1124" s="210" t="s">
        <v>477</v>
      </c>
      <c r="C1124" s="147" t="s">
        <v>432</v>
      </c>
      <c r="D1124" s="147" t="s">
        <v>436</v>
      </c>
      <c r="E1124" s="147" t="s">
        <v>1667</v>
      </c>
      <c r="F1124" s="147"/>
      <c r="G1124" s="279">
        <f>G1125</f>
        <v>4769.799999999999</v>
      </c>
    </row>
    <row r="1125" spans="1:7" ht="24">
      <c r="A1125" s="153" t="s">
        <v>1066</v>
      </c>
      <c r="B1125" s="210" t="s">
        <v>477</v>
      </c>
      <c r="C1125" s="147" t="s">
        <v>432</v>
      </c>
      <c r="D1125" s="147" t="s">
        <v>436</v>
      </c>
      <c r="E1125" s="147" t="s">
        <v>1667</v>
      </c>
      <c r="F1125" s="147" t="s">
        <v>529</v>
      </c>
      <c r="G1125" s="279">
        <f>G1126</f>
        <v>4769.799999999999</v>
      </c>
    </row>
    <row r="1126" spans="1:7" ht="24">
      <c r="A1126" s="153" t="s">
        <v>591</v>
      </c>
      <c r="B1126" s="210" t="s">
        <v>477</v>
      </c>
      <c r="C1126" s="147" t="s">
        <v>432</v>
      </c>
      <c r="D1126" s="147" t="s">
        <v>436</v>
      </c>
      <c r="E1126" s="147" t="s">
        <v>1667</v>
      </c>
      <c r="F1126" s="147" t="s">
        <v>429</v>
      </c>
      <c r="G1126" s="158">
        <f>6845.2+350-1225.4-1200</f>
        <v>4769.799999999999</v>
      </c>
    </row>
    <row r="1127" spans="1:7" ht="48">
      <c r="A1127" s="312" t="s">
        <v>1730</v>
      </c>
      <c r="B1127" s="210" t="s">
        <v>477</v>
      </c>
      <c r="C1127" s="147" t="s">
        <v>432</v>
      </c>
      <c r="D1127" s="147" t="s">
        <v>436</v>
      </c>
      <c r="E1127" s="147" t="s">
        <v>1731</v>
      </c>
      <c r="F1127" s="147"/>
      <c r="G1127" s="155">
        <f>G1128</f>
        <v>10920</v>
      </c>
    </row>
    <row r="1128" spans="1:7" ht="24">
      <c r="A1128" s="153" t="s">
        <v>1066</v>
      </c>
      <c r="B1128" s="210" t="s">
        <v>477</v>
      </c>
      <c r="C1128" s="147" t="s">
        <v>432</v>
      </c>
      <c r="D1128" s="147" t="s">
        <v>436</v>
      </c>
      <c r="E1128" s="147" t="s">
        <v>1731</v>
      </c>
      <c r="F1128" s="147" t="s">
        <v>529</v>
      </c>
      <c r="G1128" s="155">
        <f>G1129</f>
        <v>10920</v>
      </c>
    </row>
    <row r="1129" spans="1:7" ht="24">
      <c r="A1129" s="153" t="s">
        <v>591</v>
      </c>
      <c r="B1129" s="210" t="s">
        <v>477</v>
      </c>
      <c r="C1129" s="147" t="s">
        <v>432</v>
      </c>
      <c r="D1129" s="147" t="s">
        <v>436</v>
      </c>
      <c r="E1129" s="147" t="s">
        <v>1731</v>
      </c>
      <c r="F1129" s="147" t="s">
        <v>429</v>
      </c>
      <c r="G1129" s="158">
        <v>10920</v>
      </c>
    </row>
    <row r="1130" spans="1:7" ht="36">
      <c r="A1130" s="152" t="s">
        <v>1668</v>
      </c>
      <c r="B1130" s="210" t="s">
        <v>477</v>
      </c>
      <c r="C1130" s="147" t="s">
        <v>432</v>
      </c>
      <c r="D1130" s="147" t="s">
        <v>436</v>
      </c>
      <c r="E1130" s="147" t="s">
        <v>1669</v>
      </c>
      <c r="F1130" s="147"/>
      <c r="G1130" s="279">
        <f>G1131</f>
        <v>45340.7</v>
      </c>
    </row>
    <row r="1131" spans="1:7" ht="24">
      <c r="A1131" s="153" t="s">
        <v>1066</v>
      </c>
      <c r="B1131" s="210" t="s">
        <v>477</v>
      </c>
      <c r="C1131" s="147" t="s">
        <v>432</v>
      </c>
      <c r="D1131" s="147" t="s">
        <v>436</v>
      </c>
      <c r="E1131" s="147" t="s">
        <v>1669</v>
      </c>
      <c r="F1131" s="147" t="s">
        <v>529</v>
      </c>
      <c r="G1131" s="279">
        <f>G1132</f>
        <v>45340.7</v>
      </c>
    </row>
    <row r="1132" spans="1:7" ht="13.5" customHeight="1">
      <c r="A1132" s="153" t="s">
        <v>591</v>
      </c>
      <c r="B1132" s="210" t="s">
        <v>477</v>
      </c>
      <c r="C1132" s="147" t="s">
        <v>432</v>
      </c>
      <c r="D1132" s="147" t="s">
        <v>436</v>
      </c>
      <c r="E1132" s="147" t="s">
        <v>1669</v>
      </c>
      <c r="F1132" s="147" t="s">
        <v>429</v>
      </c>
      <c r="G1132" s="158">
        <f>22073+23267.7</f>
        <v>45340.7</v>
      </c>
    </row>
    <row r="1133" spans="1:7" ht="36">
      <c r="A1133" s="312" t="s">
        <v>1732</v>
      </c>
      <c r="B1133" s="210" t="s">
        <v>477</v>
      </c>
      <c r="C1133" s="147" t="s">
        <v>432</v>
      </c>
      <c r="D1133" s="147" t="s">
        <v>436</v>
      </c>
      <c r="E1133" s="147" t="s">
        <v>1733</v>
      </c>
      <c r="F1133" s="147"/>
      <c r="G1133" s="279">
        <f>G1134</f>
        <v>19080</v>
      </c>
    </row>
    <row r="1134" spans="1:7" ht="24">
      <c r="A1134" s="153" t="s">
        <v>1066</v>
      </c>
      <c r="B1134" s="210" t="s">
        <v>477</v>
      </c>
      <c r="C1134" s="147" t="s">
        <v>432</v>
      </c>
      <c r="D1134" s="147" t="s">
        <v>436</v>
      </c>
      <c r="E1134" s="147" t="s">
        <v>1733</v>
      </c>
      <c r="F1134" s="147" t="s">
        <v>529</v>
      </c>
      <c r="G1134" s="279">
        <f>G1135</f>
        <v>19080</v>
      </c>
    </row>
    <row r="1135" spans="1:7" ht="24">
      <c r="A1135" s="153" t="s">
        <v>591</v>
      </c>
      <c r="B1135" s="210" t="s">
        <v>477</v>
      </c>
      <c r="C1135" s="147" t="s">
        <v>432</v>
      </c>
      <c r="D1135" s="147" t="s">
        <v>436</v>
      </c>
      <c r="E1135" s="147" t="s">
        <v>1733</v>
      </c>
      <c r="F1135" s="147" t="s">
        <v>429</v>
      </c>
      <c r="G1135" s="158">
        <v>19080</v>
      </c>
    </row>
    <row r="1136" spans="1:7" ht="24">
      <c r="A1136" s="152" t="s">
        <v>910</v>
      </c>
      <c r="B1136" s="210" t="s">
        <v>477</v>
      </c>
      <c r="C1136" s="147" t="s">
        <v>432</v>
      </c>
      <c r="D1136" s="147" t="s">
        <v>436</v>
      </c>
      <c r="E1136" s="147" t="s">
        <v>911</v>
      </c>
      <c r="F1136" s="147"/>
      <c r="G1136" s="155">
        <f>G1137</f>
        <v>0</v>
      </c>
    </row>
    <row r="1137" spans="1:7" ht="24">
      <c r="A1137" s="157" t="s">
        <v>907</v>
      </c>
      <c r="B1137" s="210" t="s">
        <v>477</v>
      </c>
      <c r="C1137" s="147" t="s">
        <v>432</v>
      </c>
      <c r="D1137" s="147" t="s">
        <v>436</v>
      </c>
      <c r="E1137" s="147" t="s">
        <v>912</v>
      </c>
      <c r="F1137" s="147"/>
      <c r="G1137" s="155">
        <f>G1138</f>
        <v>0</v>
      </c>
    </row>
    <row r="1138" spans="1:7" ht="18.75" customHeight="1">
      <c r="A1138" s="152" t="s">
        <v>461</v>
      </c>
      <c r="B1138" s="210" t="s">
        <v>477</v>
      </c>
      <c r="C1138" s="147" t="s">
        <v>432</v>
      </c>
      <c r="D1138" s="147" t="s">
        <v>436</v>
      </c>
      <c r="E1138" s="147" t="s">
        <v>912</v>
      </c>
      <c r="F1138" s="147" t="s">
        <v>1167</v>
      </c>
      <c r="G1138" s="155">
        <f>G1139</f>
        <v>0</v>
      </c>
    </row>
    <row r="1139" spans="1:7" ht="36">
      <c r="A1139" s="152" t="s">
        <v>444</v>
      </c>
      <c r="B1139" s="210" t="s">
        <v>477</v>
      </c>
      <c r="C1139" s="147" t="s">
        <v>432</v>
      </c>
      <c r="D1139" s="147" t="s">
        <v>436</v>
      </c>
      <c r="E1139" s="147" t="s">
        <v>912</v>
      </c>
      <c r="F1139" s="147" t="s">
        <v>881</v>
      </c>
      <c r="G1139" s="155">
        <f>G1140</f>
        <v>0</v>
      </c>
    </row>
    <row r="1140" spans="1:7" ht="24">
      <c r="A1140" s="152" t="s">
        <v>994</v>
      </c>
      <c r="B1140" s="210" t="s">
        <v>477</v>
      </c>
      <c r="C1140" s="147" t="s">
        <v>432</v>
      </c>
      <c r="D1140" s="147" t="s">
        <v>436</v>
      </c>
      <c r="E1140" s="147" t="s">
        <v>912</v>
      </c>
      <c r="F1140" s="147" t="s">
        <v>881</v>
      </c>
      <c r="G1140" s="158">
        <f>10000-10000</f>
        <v>0</v>
      </c>
    </row>
    <row r="1141" spans="1:7" ht="18.75" customHeight="1">
      <c r="A1141" s="153" t="s">
        <v>1078</v>
      </c>
      <c r="B1141" s="210" t="s">
        <v>477</v>
      </c>
      <c r="C1141" s="147" t="s">
        <v>432</v>
      </c>
      <c r="D1141" s="147" t="s">
        <v>436</v>
      </c>
      <c r="E1141" s="147" t="s">
        <v>1079</v>
      </c>
      <c r="F1141" s="147"/>
      <c r="G1141" s="279">
        <f>G1142+G1145</f>
        <v>1350</v>
      </c>
    </row>
    <row r="1142" spans="1:7" ht="24">
      <c r="A1142" s="153" t="s">
        <v>1066</v>
      </c>
      <c r="B1142" s="210" t="s">
        <v>477</v>
      </c>
      <c r="C1142" s="147" t="s">
        <v>432</v>
      </c>
      <c r="D1142" s="147" t="s">
        <v>436</v>
      </c>
      <c r="E1142" s="147" t="s">
        <v>1079</v>
      </c>
      <c r="F1142" s="147" t="s">
        <v>529</v>
      </c>
      <c r="G1142" s="279">
        <f>G1143</f>
        <v>850</v>
      </c>
    </row>
    <row r="1143" spans="1:7" ht="24">
      <c r="A1143" s="153" t="s">
        <v>591</v>
      </c>
      <c r="B1143" s="210" t="s">
        <v>477</v>
      </c>
      <c r="C1143" s="147" t="s">
        <v>432</v>
      </c>
      <c r="D1143" s="147" t="s">
        <v>436</v>
      </c>
      <c r="E1143" s="147" t="s">
        <v>1079</v>
      </c>
      <c r="F1143" s="147" t="s">
        <v>429</v>
      </c>
      <c r="G1143" s="279">
        <f>G1144</f>
        <v>850</v>
      </c>
    </row>
    <row r="1144" spans="1:7" ht="18" customHeight="1">
      <c r="A1144" s="152" t="s">
        <v>1606</v>
      </c>
      <c r="B1144" s="210" t="s">
        <v>477</v>
      </c>
      <c r="C1144" s="147" t="s">
        <v>432</v>
      </c>
      <c r="D1144" s="147" t="s">
        <v>436</v>
      </c>
      <c r="E1144" s="147" t="s">
        <v>1079</v>
      </c>
      <c r="F1144" s="147" t="s">
        <v>429</v>
      </c>
      <c r="G1144" s="158">
        <v>850</v>
      </c>
    </row>
    <row r="1145" spans="1:7" ht="24">
      <c r="A1145" s="152" t="s">
        <v>490</v>
      </c>
      <c r="B1145" s="210" t="s">
        <v>477</v>
      </c>
      <c r="C1145" s="147" t="s">
        <v>432</v>
      </c>
      <c r="D1145" s="147" t="s">
        <v>436</v>
      </c>
      <c r="E1145" s="147" t="s">
        <v>1079</v>
      </c>
      <c r="F1145" s="147" t="s">
        <v>489</v>
      </c>
      <c r="G1145" s="279">
        <f>G1146</f>
        <v>500</v>
      </c>
    </row>
    <row r="1146" spans="1:7" ht="24">
      <c r="A1146" s="157" t="s">
        <v>573</v>
      </c>
      <c r="B1146" s="210" t="s">
        <v>477</v>
      </c>
      <c r="C1146" s="147" t="s">
        <v>432</v>
      </c>
      <c r="D1146" s="147" t="s">
        <v>436</v>
      </c>
      <c r="E1146" s="147" t="s">
        <v>1079</v>
      </c>
      <c r="F1146" s="147" t="s">
        <v>574</v>
      </c>
      <c r="G1146" s="279">
        <f>G1147</f>
        <v>500</v>
      </c>
    </row>
    <row r="1147" spans="1:7" ht="36">
      <c r="A1147" s="152" t="s">
        <v>1607</v>
      </c>
      <c r="B1147" s="210" t="s">
        <v>477</v>
      </c>
      <c r="C1147" s="147" t="s">
        <v>432</v>
      </c>
      <c r="D1147" s="147" t="s">
        <v>436</v>
      </c>
      <c r="E1147" s="147" t="s">
        <v>1079</v>
      </c>
      <c r="F1147" s="147" t="s">
        <v>574</v>
      </c>
      <c r="G1147" s="158">
        <v>500</v>
      </c>
    </row>
    <row r="1148" spans="1:7" ht="15.75">
      <c r="A1148" s="215" t="s">
        <v>990</v>
      </c>
      <c r="B1148" s="210" t="s">
        <v>477</v>
      </c>
      <c r="C1148" s="147" t="s">
        <v>431</v>
      </c>
      <c r="D1148" s="147"/>
      <c r="E1148" s="147"/>
      <c r="F1148" s="147"/>
      <c r="G1148" s="1">
        <f>G1149</f>
        <v>9705</v>
      </c>
    </row>
    <row r="1149" spans="1:7" ht="24">
      <c r="A1149" s="156" t="s">
        <v>1154</v>
      </c>
      <c r="B1149" s="210" t="s">
        <v>477</v>
      </c>
      <c r="C1149" s="147" t="s">
        <v>431</v>
      </c>
      <c r="D1149" s="147" t="s">
        <v>436</v>
      </c>
      <c r="E1149" s="169"/>
      <c r="F1149" s="147"/>
      <c r="G1149" s="155">
        <f>G1150</f>
        <v>9705</v>
      </c>
    </row>
    <row r="1150" spans="1:7" ht="24">
      <c r="A1150" s="160" t="s">
        <v>1435</v>
      </c>
      <c r="B1150" s="210" t="s">
        <v>477</v>
      </c>
      <c r="C1150" s="147" t="s">
        <v>431</v>
      </c>
      <c r="D1150" s="147" t="s">
        <v>436</v>
      </c>
      <c r="E1150" s="147" t="s">
        <v>915</v>
      </c>
      <c r="F1150" s="147"/>
      <c r="G1150" s="155">
        <f>G1151+G1170+G1175</f>
        <v>9705</v>
      </c>
    </row>
    <row r="1151" spans="1:7" ht="24">
      <c r="A1151" s="152" t="s">
        <v>1436</v>
      </c>
      <c r="B1151" s="210" t="s">
        <v>477</v>
      </c>
      <c r="C1151" s="147" t="s">
        <v>431</v>
      </c>
      <c r="D1151" s="147" t="s">
        <v>436</v>
      </c>
      <c r="E1151" s="147" t="s">
        <v>916</v>
      </c>
      <c r="F1151" s="147"/>
      <c r="G1151" s="155">
        <f>G1152+G1156+G1160+G1163</f>
        <v>4700</v>
      </c>
    </row>
    <row r="1152" spans="1:7" ht="24">
      <c r="A1152" s="152" t="s">
        <v>913</v>
      </c>
      <c r="B1152" s="210" t="s">
        <v>477</v>
      </c>
      <c r="C1152" s="147" t="s">
        <v>431</v>
      </c>
      <c r="D1152" s="147" t="s">
        <v>436</v>
      </c>
      <c r="E1152" s="253" t="s">
        <v>918</v>
      </c>
      <c r="F1152" s="147"/>
      <c r="G1152" s="155">
        <f>G1153</f>
        <v>0</v>
      </c>
    </row>
    <row r="1153" spans="1:7" ht="18.75" customHeight="1">
      <c r="A1153" s="152" t="s">
        <v>914</v>
      </c>
      <c r="B1153" s="210" t="s">
        <v>477</v>
      </c>
      <c r="C1153" s="147" t="s">
        <v>431</v>
      </c>
      <c r="D1153" s="147" t="s">
        <v>436</v>
      </c>
      <c r="E1153" s="147" t="s">
        <v>917</v>
      </c>
      <c r="F1153" s="147"/>
      <c r="G1153" s="155">
        <f>G1154</f>
        <v>0</v>
      </c>
    </row>
    <row r="1154" spans="1:7" ht="24">
      <c r="A1154" s="153" t="s">
        <v>974</v>
      </c>
      <c r="B1154" s="210" t="s">
        <v>477</v>
      </c>
      <c r="C1154" s="147" t="s">
        <v>431</v>
      </c>
      <c r="D1154" s="147" t="s">
        <v>436</v>
      </c>
      <c r="E1154" s="147" t="s">
        <v>917</v>
      </c>
      <c r="F1154" s="147" t="s">
        <v>529</v>
      </c>
      <c r="G1154" s="155">
        <f>G1155</f>
        <v>0</v>
      </c>
    </row>
    <row r="1155" spans="1:7" ht="19.5" customHeight="1">
      <c r="A1155" s="153" t="s">
        <v>931</v>
      </c>
      <c r="B1155" s="210" t="s">
        <v>477</v>
      </c>
      <c r="C1155" s="147" t="s">
        <v>431</v>
      </c>
      <c r="D1155" s="147" t="s">
        <v>436</v>
      </c>
      <c r="E1155" s="147" t="s">
        <v>917</v>
      </c>
      <c r="F1155" s="147" t="s">
        <v>429</v>
      </c>
      <c r="G1155" s="155">
        <v>0</v>
      </c>
    </row>
    <row r="1156" spans="1:7" ht="24">
      <c r="A1156" s="153" t="s">
        <v>103</v>
      </c>
      <c r="B1156" s="210" t="s">
        <v>477</v>
      </c>
      <c r="C1156" s="147" t="s">
        <v>431</v>
      </c>
      <c r="D1156" s="147" t="s">
        <v>436</v>
      </c>
      <c r="E1156" s="147" t="s">
        <v>104</v>
      </c>
      <c r="F1156" s="147"/>
      <c r="G1156" s="155">
        <f>G1157</f>
        <v>4500</v>
      </c>
    </row>
    <row r="1157" spans="1:7" ht="24">
      <c r="A1157" s="157" t="s">
        <v>1006</v>
      </c>
      <c r="B1157" s="210" t="s">
        <v>477</v>
      </c>
      <c r="C1157" s="147" t="s">
        <v>431</v>
      </c>
      <c r="D1157" s="147" t="s">
        <v>436</v>
      </c>
      <c r="E1157" s="147" t="s">
        <v>105</v>
      </c>
      <c r="F1157" s="147"/>
      <c r="G1157" s="155">
        <f>G1158</f>
        <v>4500</v>
      </c>
    </row>
    <row r="1158" spans="1:7" ht="24">
      <c r="A1158" s="157" t="s">
        <v>573</v>
      </c>
      <c r="B1158" s="210" t="s">
        <v>477</v>
      </c>
      <c r="C1158" s="147" t="s">
        <v>431</v>
      </c>
      <c r="D1158" s="147" t="s">
        <v>436</v>
      </c>
      <c r="E1158" s="147" t="s">
        <v>105</v>
      </c>
      <c r="F1158" s="147" t="s">
        <v>489</v>
      </c>
      <c r="G1158" s="155">
        <f>G1159</f>
        <v>4500</v>
      </c>
    </row>
    <row r="1159" spans="1:7" ht="24">
      <c r="A1159" s="157" t="s">
        <v>572</v>
      </c>
      <c r="B1159" s="210" t="s">
        <v>477</v>
      </c>
      <c r="C1159" s="147" t="s">
        <v>431</v>
      </c>
      <c r="D1159" s="147" t="s">
        <v>436</v>
      </c>
      <c r="E1159" s="147" t="s">
        <v>105</v>
      </c>
      <c r="F1159" s="147" t="s">
        <v>574</v>
      </c>
      <c r="G1159" s="158">
        <f>2000+2500</f>
        <v>4500</v>
      </c>
    </row>
    <row r="1160" spans="1:7" ht="31.5" customHeight="1">
      <c r="A1160" s="157" t="s">
        <v>106</v>
      </c>
      <c r="B1160" s="210" t="s">
        <v>477</v>
      </c>
      <c r="C1160" s="147" t="s">
        <v>431</v>
      </c>
      <c r="D1160" s="147" t="s">
        <v>436</v>
      </c>
      <c r="E1160" s="147" t="s">
        <v>107</v>
      </c>
      <c r="F1160" s="147"/>
      <c r="G1160" s="155">
        <f>G1161</f>
        <v>100</v>
      </c>
    </row>
    <row r="1161" spans="1:7" ht="24">
      <c r="A1161" s="157" t="s">
        <v>108</v>
      </c>
      <c r="B1161" s="210" t="s">
        <v>477</v>
      </c>
      <c r="C1161" s="147" t="s">
        <v>431</v>
      </c>
      <c r="D1161" s="147" t="s">
        <v>436</v>
      </c>
      <c r="E1161" s="147" t="s">
        <v>109</v>
      </c>
      <c r="F1161" s="147"/>
      <c r="G1161" s="155">
        <f>G1162</f>
        <v>100</v>
      </c>
    </row>
    <row r="1162" spans="1:7" ht="24">
      <c r="A1162" s="153" t="s">
        <v>985</v>
      </c>
      <c r="B1162" s="210" t="s">
        <v>477</v>
      </c>
      <c r="C1162" s="147" t="s">
        <v>431</v>
      </c>
      <c r="D1162" s="147" t="s">
        <v>436</v>
      </c>
      <c r="E1162" s="147" t="s">
        <v>109</v>
      </c>
      <c r="F1162" s="147" t="s">
        <v>986</v>
      </c>
      <c r="G1162" s="155">
        <f>G1163</f>
        <v>100</v>
      </c>
    </row>
    <row r="1163" spans="1:7" ht="24">
      <c r="A1163" s="157" t="s">
        <v>987</v>
      </c>
      <c r="B1163" s="210" t="s">
        <v>477</v>
      </c>
      <c r="C1163" s="147" t="s">
        <v>431</v>
      </c>
      <c r="D1163" s="147" t="s">
        <v>436</v>
      </c>
      <c r="E1163" s="147" t="s">
        <v>109</v>
      </c>
      <c r="F1163" s="147" t="s">
        <v>988</v>
      </c>
      <c r="G1163" s="158">
        <f>100</f>
        <v>100</v>
      </c>
    </row>
    <row r="1164" spans="1:7" ht="24">
      <c r="A1164" s="157" t="s">
        <v>110</v>
      </c>
      <c r="B1164" s="210" t="s">
        <v>477</v>
      </c>
      <c r="C1164" s="147" t="s">
        <v>431</v>
      </c>
      <c r="D1164" s="147" t="s">
        <v>436</v>
      </c>
      <c r="E1164" s="147" t="s">
        <v>112</v>
      </c>
      <c r="F1164" s="147"/>
      <c r="G1164" s="155">
        <f>G1165</f>
        <v>100</v>
      </c>
    </row>
    <row r="1165" spans="1:7" ht="24">
      <c r="A1165" s="157" t="s">
        <v>111</v>
      </c>
      <c r="B1165" s="210" t="s">
        <v>477</v>
      </c>
      <c r="C1165" s="147" t="s">
        <v>431</v>
      </c>
      <c r="D1165" s="147" t="s">
        <v>436</v>
      </c>
      <c r="E1165" s="147" t="s">
        <v>113</v>
      </c>
      <c r="F1165" s="147"/>
      <c r="G1165" s="155">
        <f>G1166+G1168</f>
        <v>100</v>
      </c>
    </row>
    <row r="1166" spans="1:7" ht="24">
      <c r="A1166" s="153" t="s">
        <v>974</v>
      </c>
      <c r="B1166" s="210" t="s">
        <v>477</v>
      </c>
      <c r="C1166" s="147" t="s">
        <v>431</v>
      </c>
      <c r="D1166" s="147" t="s">
        <v>436</v>
      </c>
      <c r="E1166" s="147" t="s">
        <v>113</v>
      </c>
      <c r="F1166" s="147" t="s">
        <v>529</v>
      </c>
      <c r="G1166" s="155">
        <f>G1167</f>
        <v>0</v>
      </c>
    </row>
    <row r="1167" spans="1:7" ht="24">
      <c r="A1167" s="153" t="s">
        <v>931</v>
      </c>
      <c r="B1167" s="210" t="s">
        <v>477</v>
      </c>
      <c r="C1167" s="147" t="s">
        <v>431</v>
      </c>
      <c r="D1167" s="147" t="s">
        <v>436</v>
      </c>
      <c r="E1167" s="147" t="s">
        <v>113</v>
      </c>
      <c r="F1167" s="147" t="s">
        <v>429</v>
      </c>
      <c r="G1167" s="158">
        <v>0</v>
      </c>
    </row>
    <row r="1168" spans="1:7" ht="24">
      <c r="A1168" s="153" t="s">
        <v>985</v>
      </c>
      <c r="B1168" s="210" t="s">
        <v>477</v>
      </c>
      <c r="C1168" s="147" t="s">
        <v>431</v>
      </c>
      <c r="D1168" s="147" t="s">
        <v>436</v>
      </c>
      <c r="E1168" s="147" t="s">
        <v>113</v>
      </c>
      <c r="F1168" s="147" t="s">
        <v>986</v>
      </c>
      <c r="G1168" s="155">
        <f>G1169</f>
        <v>100</v>
      </c>
    </row>
    <row r="1169" spans="1:7" ht="18.75" customHeight="1">
      <c r="A1169" s="157" t="s">
        <v>987</v>
      </c>
      <c r="B1169" s="210" t="s">
        <v>477</v>
      </c>
      <c r="C1169" s="147" t="s">
        <v>431</v>
      </c>
      <c r="D1169" s="147" t="s">
        <v>436</v>
      </c>
      <c r="E1169" s="147" t="s">
        <v>113</v>
      </c>
      <c r="F1169" s="147" t="s">
        <v>988</v>
      </c>
      <c r="G1169" s="158">
        <v>100</v>
      </c>
    </row>
    <row r="1170" spans="1:7" ht="24">
      <c r="A1170" s="159" t="s">
        <v>1438</v>
      </c>
      <c r="B1170" s="210" t="s">
        <v>477</v>
      </c>
      <c r="C1170" s="147" t="s">
        <v>431</v>
      </c>
      <c r="D1170" s="147" t="s">
        <v>436</v>
      </c>
      <c r="E1170" s="147" t="s">
        <v>146</v>
      </c>
      <c r="F1170" s="147"/>
      <c r="G1170" s="155">
        <f>G1171</f>
        <v>160</v>
      </c>
    </row>
    <row r="1171" spans="1:7" ht="24">
      <c r="A1171" s="159" t="s">
        <v>145</v>
      </c>
      <c r="B1171" s="210" t="s">
        <v>477</v>
      </c>
      <c r="C1171" s="147" t="s">
        <v>431</v>
      </c>
      <c r="D1171" s="147" t="s">
        <v>436</v>
      </c>
      <c r="E1171" s="147" t="s">
        <v>147</v>
      </c>
      <c r="F1171" s="147"/>
      <c r="G1171" s="155">
        <f>G1172</f>
        <v>160</v>
      </c>
    </row>
    <row r="1172" spans="1:7" ht="15.75" customHeight="1">
      <c r="A1172" s="159" t="s">
        <v>148</v>
      </c>
      <c r="B1172" s="210" t="s">
        <v>477</v>
      </c>
      <c r="C1172" s="147" t="s">
        <v>431</v>
      </c>
      <c r="D1172" s="147" t="s">
        <v>436</v>
      </c>
      <c r="E1172" s="147" t="s">
        <v>149</v>
      </c>
      <c r="F1172" s="147"/>
      <c r="G1172" s="155">
        <f>G1173</f>
        <v>160</v>
      </c>
    </row>
    <row r="1173" spans="1:7" ht="24">
      <c r="A1173" s="153" t="s">
        <v>974</v>
      </c>
      <c r="B1173" s="210" t="s">
        <v>477</v>
      </c>
      <c r="C1173" s="147" t="s">
        <v>431</v>
      </c>
      <c r="D1173" s="147" t="s">
        <v>436</v>
      </c>
      <c r="E1173" s="147" t="s">
        <v>149</v>
      </c>
      <c r="F1173" s="147" t="s">
        <v>529</v>
      </c>
      <c r="G1173" s="158">
        <f>G1174</f>
        <v>160</v>
      </c>
    </row>
    <row r="1174" spans="1:7" ht="24">
      <c r="A1174" s="153" t="s">
        <v>931</v>
      </c>
      <c r="B1174" s="210" t="s">
        <v>477</v>
      </c>
      <c r="C1174" s="147" t="s">
        <v>431</v>
      </c>
      <c r="D1174" s="147" t="s">
        <v>436</v>
      </c>
      <c r="E1174" s="147" t="s">
        <v>149</v>
      </c>
      <c r="F1174" s="147" t="s">
        <v>429</v>
      </c>
      <c r="G1174" s="158">
        <f>160</f>
        <v>160</v>
      </c>
    </row>
    <row r="1175" spans="1:7" ht="48">
      <c r="A1175" s="152" t="s">
        <v>1437</v>
      </c>
      <c r="B1175" s="210" t="s">
        <v>477</v>
      </c>
      <c r="C1175" s="147" t="s">
        <v>431</v>
      </c>
      <c r="D1175" s="147" t="s">
        <v>436</v>
      </c>
      <c r="E1175" s="147" t="s">
        <v>150</v>
      </c>
      <c r="F1175" s="147"/>
      <c r="G1175" s="155">
        <f>G1176+G1180+G1184</f>
        <v>4845</v>
      </c>
    </row>
    <row r="1176" spans="1:7" ht="24">
      <c r="A1176" s="152" t="s">
        <v>580</v>
      </c>
      <c r="B1176" s="210" t="s">
        <v>477</v>
      </c>
      <c r="C1176" s="147" t="s">
        <v>431</v>
      </c>
      <c r="D1176" s="147" t="s">
        <v>436</v>
      </c>
      <c r="E1176" s="147" t="s">
        <v>151</v>
      </c>
      <c r="F1176" s="147"/>
      <c r="G1176" s="155">
        <f>G1177</f>
        <v>4045</v>
      </c>
    </row>
    <row r="1177" spans="1:7" ht="24">
      <c r="A1177" s="152" t="s">
        <v>581</v>
      </c>
      <c r="B1177" s="210" t="s">
        <v>477</v>
      </c>
      <c r="C1177" s="147" t="s">
        <v>431</v>
      </c>
      <c r="D1177" s="147" t="s">
        <v>436</v>
      </c>
      <c r="E1177" s="147" t="s">
        <v>152</v>
      </c>
      <c r="F1177" s="147"/>
      <c r="G1177" s="155">
        <f>G1178</f>
        <v>4045</v>
      </c>
    </row>
    <row r="1178" spans="1:7" ht="24">
      <c r="A1178" s="157" t="s">
        <v>573</v>
      </c>
      <c r="B1178" s="210" t="s">
        <v>477</v>
      </c>
      <c r="C1178" s="147" t="s">
        <v>431</v>
      </c>
      <c r="D1178" s="147" t="s">
        <v>436</v>
      </c>
      <c r="E1178" s="147" t="s">
        <v>152</v>
      </c>
      <c r="F1178" s="147" t="s">
        <v>489</v>
      </c>
      <c r="G1178" s="155">
        <f>G1179</f>
        <v>4045</v>
      </c>
    </row>
    <row r="1179" spans="1:7" ht="24">
      <c r="A1179" s="157" t="s">
        <v>572</v>
      </c>
      <c r="B1179" s="210" t="s">
        <v>477</v>
      </c>
      <c r="C1179" s="147" t="s">
        <v>431</v>
      </c>
      <c r="D1179" s="147" t="s">
        <v>436</v>
      </c>
      <c r="E1179" s="147" t="s">
        <v>152</v>
      </c>
      <c r="F1179" s="147" t="s">
        <v>574</v>
      </c>
      <c r="G1179" s="158">
        <f>4045</f>
        <v>4045</v>
      </c>
    </row>
    <row r="1180" spans="1:7" ht="24">
      <c r="A1180" s="157" t="s">
        <v>1204</v>
      </c>
      <c r="B1180" s="210" t="s">
        <v>477</v>
      </c>
      <c r="C1180" s="147" t="s">
        <v>431</v>
      </c>
      <c r="D1180" s="147" t="s">
        <v>436</v>
      </c>
      <c r="E1180" s="147" t="s">
        <v>1206</v>
      </c>
      <c r="F1180" s="147"/>
      <c r="G1180" s="279">
        <f>G1181</f>
        <v>500</v>
      </c>
    </row>
    <row r="1181" spans="1:7" ht="24">
      <c r="A1181" s="157" t="s">
        <v>1205</v>
      </c>
      <c r="B1181" s="210" t="s">
        <v>477</v>
      </c>
      <c r="C1181" s="147" t="s">
        <v>431</v>
      </c>
      <c r="D1181" s="147" t="s">
        <v>436</v>
      </c>
      <c r="E1181" s="147" t="s">
        <v>1206</v>
      </c>
      <c r="F1181" s="147"/>
      <c r="G1181" s="279">
        <f>G1182</f>
        <v>500</v>
      </c>
    </row>
    <row r="1182" spans="1:7" ht="24">
      <c r="A1182" s="153" t="s">
        <v>974</v>
      </c>
      <c r="B1182" s="210" t="s">
        <v>477</v>
      </c>
      <c r="C1182" s="147" t="s">
        <v>431</v>
      </c>
      <c r="D1182" s="147" t="s">
        <v>436</v>
      </c>
      <c r="E1182" s="147" t="s">
        <v>1206</v>
      </c>
      <c r="F1182" s="147" t="s">
        <v>529</v>
      </c>
      <c r="G1182" s="279">
        <f>G1183</f>
        <v>500</v>
      </c>
    </row>
    <row r="1183" spans="1:7" ht="24">
      <c r="A1183" s="153" t="s">
        <v>931</v>
      </c>
      <c r="B1183" s="210" t="s">
        <v>477</v>
      </c>
      <c r="C1183" s="147" t="s">
        <v>431</v>
      </c>
      <c r="D1183" s="147" t="s">
        <v>436</v>
      </c>
      <c r="E1183" s="147" t="s">
        <v>1206</v>
      </c>
      <c r="F1183" s="147" t="s">
        <v>429</v>
      </c>
      <c r="G1183" s="158">
        <v>500</v>
      </c>
    </row>
    <row r="1184" spans="1:7" ht="22.5" customHeight="1">
      <c r="A1184" s="153" t="s">
        <v>1207</v>
      </c>
      <c r="B1184" s="210" t="s">
        <v>477</v>
      </c>
      <c r="C1184" s="147" t="s">
        <v>431</v>
      </c>
      <c r="D1184" s="147" t="s">
        <v>436</v>
      </c>
      <c r="E1184" s="253" t="s">
        <v>1209</v>
      </c>
      <c r="F1184" s="147"/>
      <c r="G1184" s="155">
        <f>G1185</f>
        <v>300</v>
      </c>
    </row>
    <row r="1185" spans="1:7" ht="24">
      <c r="A1185" s="153" t="s">
        <v>547</v>
      </c>
      <c r="B1185" s="210" t="s">
        <v>477</v>
      </c>
      <c r="C1185" s="147" t="s">
        <v>431</v>
      </c>
      <c r="D1185" s="147" t="s">
        <v>436</v>
      </c>
      <c r="E1185" s="147" t="s">
        <v>1208</v>
      </c>
      <c r="F1185" s="147"/>
      <c r="G1185" s="155">
        <f>G1186</f>
        <v>300</v>
      </c>
    </row>
    <row r="1186" spans="1:7" ht="24">
      <c r="A1186" s="153" t="s">
        <v>974</v>
      </c>
      <c r="B1186" s="210" t="s">
        <v>477</v>
      </c>
      <c r="C1186" s="147" t="s">
        <v>431</v>
      </c>
      <c r="D1186" s="147" t="s">
        <v>436</v>
      </c>
      <c r="E1186" s="147" t="s">
        <v>1208</v>
      </c>
      <c r="F1186" s="147" t="s">
        <v>529</v>
      </c>
      <c r="G1186" s="155">
        <f>G1187</f>
        <v>300</v>
      </c>
    </row>
    <row r="1187" spans="1:7" ht="24">
      <c r="A1187" s="153" t="s">
        <v>931</v>
      </c>
      <c r="B1187" s="210" t="s">
        <v>477</v>
      </c>
      <c r="C1187" s="147" t="s">
        <v>431</v>
      </c>
      <c r="D1187" s="147" t="s">
        <v>436</v>
      </c>
      <c r="E1187" s="147" t="s">
        <v>1208</v>
      </c>
      <c r="F1187" s="147" t="s">
        <v>429</v>
      </c>
      <c r="G1187" s="158">
        <f>300</f>
        <v>300</v>
      </c>
    </row>
    <row r="1188" spans="1:7" ht="15">
      <c r="A1188" s="166" t="s">
        <v>937</v>
      </c>
      <c r="B1188" s="210" t="s">
        <v>477</v>
      </c>
      <c r="C1188" s="168" t="s">
        <v>434</v>
      </c>
      <c r="D1188" s="177"/>
      <c r="E1188" s="177"/>
      <c r="F1188" s="147"/>
      <c r="G1188" s="325">
        <f aca="true" t="shared" si="2" ref="G1188:G1194">G1189</f>
        <v>100000</v>
      </c>
    </row>
    <row r="1189" spans="1:7" ht="15">
      <c r="A1189" s="156" t="s">
        <v>317</v>
      </c>
      <c r="B1189" s="210" t="s">
        <v>477</v>
      </c>
      <c r="C1189" s="147" t="s">
        <v>434</v>
      </c>
      <c r="D1189" s="147" t="s">
        <v>405</v>
      </c>
      <c r="E1189" s="147"/>
      <c r="F1189" s="147"/>
      <c r="G1189" s="325">
        <f t="shared" si="2"/>
        <v>100000</v>
      </c>
    </row>
    <row r="1190" spans="1:7" ht="24">
      <c r="A1190" s="164" t="s">
        <v>1416</v>
      </c>
      <c r="B1190" s="210" t="s">
        <v>477</v>
      </c>
      <c r="C1190" s="183" t="s">
        <v>434</v>
      </c>
      <c r="D1190" s="183" t="s">
        <v>405</v>
      </c>
      <c r="E1190" s="184" t="s">
        <v>3</v>
      </c>
      <c r="F1190" s="147"/>
      <c r="G1190" s="325">
        <f t="shared" si="2"/>
        <v>100000</v>
      </c>
    </row>
    <row r="1191" spans="1:7" ht="15">
      <c r="A1191" s="173" t="s">
        <v>1736</v>
      </c>
      <c r="B1191" s="210" t="s">
        <v>477</v>
      </c>
      <c r="C1191" s="183" t="s">
        <v>434</v>
      </c>
      <c r="D1191" s="183" t="s">
        <v>405</v>
      </c>
      <c r="E1191" s="185" t="s">
        <v>4</v>
      </c>
      <c r="F1191" s="147"/>
      <c r="G1191" s="325">
        <f t="shared" si="2"/>
        <v>100000</v>
      </c>
    </row>
    <row r="1192" spans="1:7" ht="24">
      <c r="A1192" s="157" t="s">
        <v>667</v>
      </c>
      <c r="B1192" s="210" t="s">
        <v>477</v>
      </c>
      <c r="C1192" s="150" t="s">
        <v>434</v>
      </c>
      <c r="D1192" s="150" t="s">
        <v>405</v>
      </c>
      <c r="E1192" s="147" t="s">
        <v>668</v>
      </c>
      <c r="F1192" s="147"/>
      <c r="G1192" s="325">
        <f t="shared" si="2"/>
        <v>100000</v>
      </c>
    </row>
    <row r="1193" spans="1:7" ht="24">
      <c r="A1193" s="115" t="s">
        <v>1796</v>
      </c>
      <c r="B1193" s="210" t="s">
        <v>477</v>
      </c>
      <c r="C1193" s="150" t="s">
        <v>434</v>
      </c>
      <c r="D1193" s="150" t="s">
        <v>405</v>
      </c>
      <c r="E1193" s="147" t="s">
        <v>1795</v>
      </c>
      <c r="F1193" s="150"/>
      <c r="G1193" s="325">
        <f t="shared" si="2"/>
        <v>100000</v>
      </c>
    </row>
    <row r="1194" spans="1:7" ht="24">
      <c r="A1194" s="153" t="s">
        <v>461</v>
      </c>
      <c r="B1194" s="210" t="s">
        <v>477</v>
      </c>
      <c r="C1194" s="150" t="s">
        <v>434</v>
      </c>
      <c r="D1194" s="150" t="s">
        <v>405</v>
      </c>
      <c r="E1194" s="147" t="s">
        <v>1795</v>
      </c>
      <c r="F1194" s="150" t="s">
        <v>1167</v>
      </c>
      <c r="G1194" s="325">
        <f t="shared" si="2"/>
        <v>100000</v>
      </c>
    </row>
    <row r="1195" spans="1:7" ht="24">
      <c r="A1195" s="153" t="s">
        <v>1083</v>
      </c>
      <c r="B1195" s="210" t="s">
        <v>477</v>
      </c>
      <c r="C1195" s="150" t="s">
        <v>434</v>
      </c>
      <c r="D1195" s="150" t="s">
        <v>405</v>
      </c>
      <c r="E1195" s="147" t="s">
        <v>1795</v>
      </c>
      <c r="F1195" s="150" t="s">
        <v>825</v>
      </c>
      <c r="G1195" s="158">
        <v>100000</v>
      </c>
    </row>
    <row r="1196" spans="1:7" ht="15.75">
      <c r="A1196" s="152" t="s">
        <v>34</v>
      </c>
      <c r="B1196" s="210" t="s">
        <v>477</v>
      </c>
      <c r="C1196" s="147" t="s">
        <v>433</v>
      </c>
      <c r="D1196" s="147"/>
      <c r="E1196" s="147"/>
      <c r="F1196" s="170"/>
      <c r="G1196" s="167">
        <f>G1197+G1206+G1381</f>
        <v>252306.49999999997</v>
      </c>
    </row>
    <row r="1197" spans="1:7" ht="15">
      <c r="A1197" s="156" t="s">
        <v>1151</v>
      </c>
      <c r="B1197" s="210" t="s">
        <v>477</v>
      </c>
      <c r="C1197" s="169" t="s">
        <v>433</v>
      </c>
      <c r="D1197" s="169" t="s">
        <v>1145</v>
      </c>
      <c r="E1197" s="169"/>
      <c r="F1197" s="147"/>
      <c r="G1197" s="175">
        <f>G1198</f>
        <v>11082.5</v>
      </c>
    </row>
    <row r="1198" spans="1:7" ht="24">
      <c r="A1198" s="164" t="s">
        <v>1355</v>
      </c>
      <c r="B1198" s="210" t="s">
        <v>477</v>
      </c>
      <c r="C1198" s="147" t="s">
        <v>433</v>
      </c>
      <c r="D1198" s="147" t="s">
        <v>1145</v>
      </c>
      <c r="E1198" s="147" t="s">
        <v>755</v>
      </c>
      <c r="F1198" s="147"/>
      <c r="G1198" s="155">
        <f>G1199</f>
        <v>11082.5</v>
      </c>
    </row>
    <row r="1199" spans="1:7" ht="36">
      <c r="A1199" s="152" t="s">
        <v>1356</v>
      </c>
      <c r="B1199" s="210" t="s">
        <v>477</v>
      </c>
      <c r="C1199" s="147" t="s">
        <v>433</v>
      </c>
      <c r="D1199" s="147" t="s">
        <v>1145</v>
      </c>
      <c r="E1199" s="147" t="s">
        <v>756</v>
      </c>
      <c r="F1199" s="147"/>
      <c r="G1199" s="155">
        <f>G1201</f>
        <v>11082.5</v>
      </c>
    </row>
    <row r="1200" spans="1:7" ht="20.25" customHeight="1">
      <c r="A1200" s="152" t="s">
        <v>760</v>
      </c>
      <c r="B1200" s="210" t="s">
        <v>477</v>
      </c>
      <c r="C1200" s="147" t="s">
        <v>433</v>
      </c>
      <c r="D1200" s="147" t="s">
        <v>1145</v>
      </c>
      <c r="E1200" s="147" t="s">
        <v>222</v>
      </c>
      <c r="F1200" s="147"/>
      <c r="G1200" s="155">
        <f>G1201</f>
        <v>11082.5</v>
      </c>
    </row>
    <row r="1201" spans="1:7" ht="24">
      <c r="A1201" s="157" t="s">
        <v>1092</v>
      </c>
      <c r="B1201" s="210" t="s">
        <v>477</v>
      </c>
      <c r="C1201" s="147" t="s">
        <v>433</v>
      </c>
      <c r="D1201" s="147" t="s">
        <v>1145</v>
      </c>
      <c r="E1201" s="147" t="s">
        <v>223</v>
      </c>
      <c r="F1201" s="147"/>
      <c r="G1201" s="155">
        <f>G1202+G1204</f>
        <v>11082.5</v>
      </c>
    </row>
    <row r="1202" spans="1:7" ht="24">
      <c r="A1202" s="157" t="s">
        <v>1066</v>
      </c>
      <c r="B1202" s="210" t="s">
        <v>477</v>
      </c>
      <c r="C1202" s="147" t="s">
        <v>433</v>
      </c>
      <c r="D1202" s="147" t="s">
        <v>1145</v>
      </c>
      <c r="E1202" s="147" t="s">
        <v>223</v>
      </c>
      <c r="F1202" s="147" t="s">
        <v>529</v>
      </c>
      <c r="G1202" s="155">
        <f>G1203</f>
        <v>82.5</v>
      </c>
    </row>
    <row r="1203" spans="1:7" ht="24">
      <c r="A1203" s="157" t="s">
        <v>920</v>
      </c>
      <c r="B1203" s="210" t="s">
        <v>477</v>
      </c>
      <c r="C1203" s="147" t="s">
        <v>433</v>
      </c>
      <c r="D1203" s="147" t="s">
        <v>1145</v>
      </c>
      <c r="E1203" s="147" t="s">
        <v>223</v>
      </c>
      <c r="F1203" s="147" t="s">
        <v>429</v>
      </c>
      <c r="G1203" s="158">
        <f>82.5</f>
        <v>82.5</v>
      </c>
    </row>
    <row r="1204" spans="1:7" ht="24">
      <c r="A1204" s="153" t="s">
        <v>530</v>
      </c>
      <c r="B1204" s="210" t="s">
        <v>477</v>
      </c>
      <c r="C1204" s="147" t="s">
        <v>433</v>
      </c>
      <c r="D1204" s="147" t="s">
        <v>1145</v>
      </c>
      <c r="E1204" s="147" t="s">
        <v>223</v>
      </c>
      <c r="F1204" s="147" t="s">
        <v>531</v>
      </c>
      <c r="G1204" s="155">
        <f>G1205</f>
        <v>11000</v>
      </c>
    </row>
    <row r="1205" spans="1:7" ht="24">
      <c r="A1205" s="152" t="s">
        <v>91</v>
      </c>
      <c r="B1205" s="210" t="s">
        <v>477</v>
      </c>
      <c r="C1205" s="147" t="s">
        <v>433</v>
      </c>
      <c r="D1205" s="147" t="s">
        <v>1145</v>
      </c>
      <c r="E1205" s="147" t="s">
        <v>223</v>
      </c>
      <c r="F1205" s="147" t="s">
        <v>38</v>
      </c>
      <c r="G1205" s="158">
        <f>11000</f>
        <v>11000</v>
      </c>
    </row>
    <row r="1206" spans="1:7" ht="15">
      <c r="A1206" s="156" t="s">
        <v>682</v>
      </c>
      <c r="B1206" s="210" t="s">
        <v>477</v>
      </c>
      <c r="C1206" s="147" t="s">
        <v>433</v>
      </c>
      <c r="D1206" s="147" t="s">
        <v>436</v>
      </c>
      <c r="E1206" s="147"/>
      <c r="F1206" s="147"/>
      <c r="G1206" s="175">
        <f>G1207+G1329+G1338+G1375</f>
        <v>184224.99999999997</v>
      </c>
    </row>
    <row r="1207" spans="1:7" ht="24">
      <c r="A1207" s="164" t="s">
        <v>1355</v>
      </c>
      <c r="B1207" s="210" t="s">
        <v>477</v>
      </c>
      <c r="C1207" s="147" t="s">
        <v>433</v>
      </c>
      <c r="D1207" s="147" t="s">
        <v>436</v>
      </c>
      <c r="E1207" s="147" t="s">
        <v>755</v>
      </c>
      <c r="F1207" s="147"/>
      <c r="G1207" s="155">
        <f>G1208+G1308+G1317</f>
        <v>111552.59999999999</v>
      </c>
    </row>
    <row r="1208" spans="1:7" ht="36">
      <c r="A1208" s="152" t="s">
        <v>1356</v>
      </c>
      <c r="B1208" s="210" t="s">
        <v>477</v>
      </c>
      <c r="C1208" s="147" t="s">
        <v>433</v>
      </c>
      <c r="D1208" s="147" t="s">
        <v>436</v>
      </c>
      <c r="E1208" s="147" t="s">
        <v>756</v>
      </c>
      <c r="F1208" s="147"/>
      <c r="G1208" s="155">
        <f>G1209+G1258+G1287+G1304</f>
        <v>67452.29999999999</v>
      </c>
    </row>
    <row r="1209" spans="1:7" ht="24">
      <c r="A1209" s="255" t="s">
        <v>758</v>
      </c>
      <c r="B1209" s="210" t="s">
        <v>477</v>
      </c>
      <c r="C1209" s="147" t="s">
        <v>433</v>
      </c>
      <c r="D1209" s="147" t="s">
        <v>436</v>
      </c>
      <c r="E1209" s="147" t="s">
        <v>757</v>
      </c>
      <c r="F1209" s="147"/>
      <c r="G1209" s="155">
        <f>G1210+G1215+G1220+G1225+G1230+G1235+G1240+G1245+G1250+G1255</f>
        <v>11025.599999999999</v>
      </c>
    </row>
    <row r="1210" spans="1:7" ht="24">
      <c r="A1210" s="157" t="s">
        <v>292</v>
      </c>
      <c r="B1210" s="210" t="s">
        <v>477</v>
      </c>
      <c r="C1210" s="147" t="s">
        <v>433</v>
      </c>
      <c r="D1210" s="147" t="s">
        <v>436</v>
      </c>
      <c r="E1210" s="147" t="s">
        <v>759</v>
      </c>
      <c r="F1210" s="147"/>
      <c r="G1210" s="155">
        <f>G1211+G1213</f>
        <v>440</v>
      </c>
    </row>
    <row r="1211" spans="1:7" ht="24">
      <c r="A1211" s="157" t="s">
        <v>1066</v>
      </c>
      <c r="B1211" s="210" t="s">
        <v>477</v>
      </c>
      <c r="C1211" s="147" t="s">
        <v>433</v>
      </c>
      <c r="D1211" s="147" t="s">
        <v>436</v>
      </c>
      <c r="E1211" s="147" t="s">
        <v>759</v>
      </c>
      <c r="F1211" s="147" t="s">
        <v>529</v>
      </c>
      <c r="G1211" s="155">
        <f>G1212</f>
        <v>20</v>
      </c>
    </row>
    <row r="1212" spans="1:7" ht="24">
      <c r="A1212" s="157" t="s">
        <v>920</v>
      </c>
      <c r="B1212" s="210" t="s">
        <v>477</v>
      </c>
      <c r="C1212" s="147" t="s">
        <v>433</v>
      </c>
      <c r="D1212" s="147" t="s">
        <v>436</v>
      </c>
      <c r="E1212" s="147" t="s">
        <v>759</v>
      </c>
      <c r="F1212" s="147" t="s">
        <v>429</v>
      </c>
      <c r="G1212" s="158">
        <f>20</f>
        <v>20</v>
      </c>
    </row>
    <row r="1213" spans="1:7" ht="24">
      <c r="A1213" s="153" t="s">
        <v>530</v>
      </c>
      <c r="B1213" s="210" t="s">
        <v>477</v>
      </c>
      <c r="C1213" s="147" t="s">
        <v>433</v>
      </c>
      <c r="D1213" s="147" t="s">
        <v>436</v>
      </c>
      <c r="E1213" s="147" t="s">
        <v>759</v>
      </c>
      <c r="F1213" s="147" t="s">
        <v>531</v>
      </c>
      <c r="G1213" s="155">
        <f>G1214</f>
        <v>420</v>
      </c>
    </row>
    <row r="1214" spans="1:7" ht="24">
      <c r="A1214" s="152" t="s">
        <v>91</v>
      </c>
      <c r="B1214" s="210" t="s">
        <v>477</v>
      </c>
      <c r="C1214" s="147" t="s">
        <v>433</v>
      </c>
      <c r="D1214" s="147" t="s">
        <v>436</v>
      </c>
      <c r="E1214" s="147" t="s">
        <v>759</v>
      </c>
      <c r="F1214" s="147" t="s">
        <v>38</v>
      </c>
      <c r="G1214" s="158">
        <f>405+15</f>
        <v>420</v>
      </c>
    </row>
    <row r="1215" spans="1:7" ht="21" customHeight="1">
      <c r="A1215" s="157" t="s">
        <v>293</v>
      </c>
      <c r="B1215" s="210" t="s">
        <v>477</v>
      </c>
      <c r="C1215" s="147" t="s">
        <v>433</v>
      </c>
      <c r="D1215" s="147" t="s">
        <v>436</v>
      </c>
      <c r="E1215" s="147" t="s">
        <v>761</v>
      </c>
      <c r="F1215" s="147"/>
      <c r="G1215" s="155">
        <f>G1216+G1218</f>
        <v>154.3</v>
      </c>
    </row>
    <row r="1216" spans="1:7" ht="24">
      <c r="A1216" s="157" t="s">
        <v>1066</v>
      </c>
      <c r="B1216" s="210" t="s">
        <v>477</v>
      </c>
      <c r="C1216" s="147" t="s">
        <v>433</v>
      </c>
      <c r="D1216" s="147" t="s">
        <v>436</v>
      </c>
      <c r="E1216" s="147" t="s">
        <v>761</v>
      </c>
      <c r="F1216" s="147" t="s">
        <v>529</v>
      </c>
      <c r="G1216" s="155">
        <f>G1217</f>
        <v>7.3</v>
      </c>
    </row>
    <row r="1217" spans="1:7" ht="24">
      <c r="A1217" s="157" t="s">
        <v>920</v>
      </c>
      <c r="B1217" s="210" t="s">
        <v>477</v>
      </c>
      <c r="C1217" s="147" t="s">
        <v>433</v>
      </c>
      <c r="D1217" s="147" t="s">
        <v>436</v>
      </c>
      <c r="E1217" s="147" t="s">
        <v>761</v>
      </c>
      <c r="F1217" s="147" t="s">
        <v>429</v>
      </c>
      <c r="G1217" s="158">
        <f>7.3</f>
        <v>7.3</v>
      </c>
    </row>
    <row r="1218" spans="1:7" ht="24">
      <c r="A1218" s="153" t="s">
        <v>530</v>
      </c>
      <c r="B1218" s="210" t="s">
        <v>477</v>
      </c>
      <c r="C1218" s="147" t="s">
        <v>433</v>
      </c>
      <c r="D1218" s="147" t="s">
        <v>436</v>
      </c>
      <c r="E1218" s="147" t="s">
        <v>761</v>
      </c>
      <c r="F1218" s="147" t="s">
        <v>531</v>
      </c>
      <c r="G1218" s="155">
        <f>G1219</f>
        <v>147</v>
      </c>
    </row>
    <row r="1219" spans="1:7" ht="24">
      <c r="A1219" s="152" t="s">
        <v>91</v>
      </c>
      <c r="B1219" s="210" t="s">
        <v>477</v>
      </c>
      <c r="C1219" s="147" t="s">
        <v>433</v>
      </c>
      <c r="D1219" s="147" t="s">
        <v>436</v>
      </c>
      <c r="E1219" s="147" t="s">
        <v>761</v>
      </c>
      <c r="F1219" s="147" t="s">
        <v>38</v>
      </c>
      <c r="G1219" s="158">
        <f>147</f>
        <v>147</v>
      </c>
    </row>
    <row r="1220" spans="1:7" ht="24">
      <c r="A1220" s="157" t="s">
        <v>314</v>
      </c>
      <c r="B1220" s="210" t="s">
        <v>477</v>
      </c>
      <c r="C1220" s="147" t="s">
        <v>433</v>
      </c>
      <c r="D1220" s="147" t="s">
        <v>436</v>
      </c>
      <c r="E1220" s="147" t="s">
        <v>762</v>
      </c>
      <c r="F1220" s="147"/>
      <c r="G1220" s="155">
        <f>G1221+G1223</f>
        <v>315</v>
      </c>
    </row>
    <row r="1221" spans="1:7" ht="24">
      <c r="A1221" s="157" t="s">
        <v>1066</v>
      </c>
      <c r="B1221" s="210" t="s">
        <v>477</v>
      </c>
      <c r="C1221" s="147" t="s">
        <v>433</v>
      </c>
      <c r="D1221" s="147" t="s">
        <v>436</v>
      </c>
      <c r="E1221" s="147" t="s">
        <v>762</v>
      </c>
      <c r="F1221" s="147" t="s">
        <v>529</v>
      </c>
      <c r="G1221" s="155">
        <f>G1222</f>
        <v>15</v>
      </c>
    </row>
    <row r="1222" spans="1:7" ht="24">
      <c r="A1222" s="157" t="s">
        <v>920</v>
      </c>
      <c r="B1222" s="210" t="s">
        <v>477</v>
      </c>
      <c r="C1222" s="147" t="s">
        <v>433</v>
      </c>
      <c r="D1222" s="147" t="s">
        <v>436</v>
      </c>
      <c r="E1222" s="147" t="s">
        <v>762</v>
      </c>
      <c r="F1222" s="147" t="s">
        <v>429</v>
      </c>
      <c r="G1222" s="158">
        <v>15</v>
      </c>
    </row>
    <row r="1223" spans="1:7" ht="24">
      <c r="A1223" s="153" t="s">
        <v>530</v>
      </c>
      <c r="B1223" s="210" t="s">
        <v>477</v>
      </c>
      <c r="C1223" s="147" t="s">
        <v>433</v>
      </c>
      <c r="D1223" s="147" t="s">
        <v>436</v>
      </c>
      <c r="E1223" s="147" t="s">
        <v>762</v>
      </c>
      <c r="F1223" s="147" t="s">
        <v>531</v>
      </c>
      <c r="G1223" s="155">
        <f>G1224</f>
        <v>300</v>
      </c>
    </row>
    <row r="1224" spans="1:7" ht="18" customHeight="1">
      <c r="A1224" s="152" t="s">
        <v>91</v>
      </c>
      <c r="B1224" s="210" t="s">
        <v>477</v>
      </c>
      <c r="C1224" s="147" t="s">
        <v>433</v>
      </c>
      <c r="D1224" s="147" t="s">
        <v>436</v>
      </c>
      <c r="E1224" s="147" t="s">
        <v>762</v>
      </c>
      <c r="F1224" s="147" t="s">
        <v>38</v>
      </c>
      <c r="G1224" s="158">
        <f>300</f>
        <v>300</v>
      </c>
    </row>
    <row r="1225" spans="1:7" ht="24">
      <c r="A1225" s="157" t="s">
        <v>1182</v>
      </c>
      <c r="B1225" s="210" t="s">
        <v>477</v>
      </c>
      <c r="C1225" s="147" t="s">
        <v>433</v>
      </c>
      <c r="D1225" s="147" t="s">
        <v>436</v>
      </c>
      <c r="E1225" s="147" t="s">
        <v>763</v>
      </c>
      <c r="F1225" s="147"/>
      <c r="G1225" s="155">
        <f>G1226+G1228</f>
        <v>15.8</v>
      </c>
    </row>
    <row r="1226" spans="1:7" ht="24">
      <c r="A1226" s="157" t="s">
        <v>1066</v>
      </c>
      <c r="B1226" s="210" t="s">
        <v>477</v>
      </c>
      <c r="C1226" s="147" t="s">
        <v>433</v>
      </c>
      <c r="D1226" s="147" t="s">
        <v>436</v>
      </c>
      <c r="E1226" s="147" t="s">
        <v>763</v>
      </c>
      <c r="F1226" s="147" t="s">
        <v>529</v>
      </c>
      <c r="G1226" s="155">
        <f>G1227</f>
        <v>0.8</v>
      </c>
    </row>
    <row r="1227" spans="1:7" ht="24">
      <c r="A1227" s="157" t="s">
        <v>920</v>
      </c>
      <c r="B1227" s="210" t="s">
        <v>477</v>
      </c>
      <c r="C1227" s="147" t="s">
        <v>433</v>
      </c>
      <c r="D1227" s="147" t="s">
        <v>436</v>
      </c>
      <c r="E1227" s="147" t="s">
        <v>763</v>
      </c>
      <c r="F1227" s="147" t="s">
        <v>429</v>
      </c>
      <c r="G1227" s="158">
        <f>0.8</f>
        <v>0.8</v>
      </c>
    </row>
    <row r="1228" spans="1:7" ht="24">
      <c r="A1228" s="153" t="s">
        <v>530</v>
      </c>
      <c r="B1228" s="210" t="s">
        <v>477</v>
      </c>
      <c r="C1228" s="147" t="s">
        <v>433</v>
      </c>
      <c r="D1228" s="147" t="s">
        <v>436</v>
      </c>
      <c r="E1228" s="147" t="s">
        <v>763</v>
      </c>
      <c r="F1228" s="147" t="s">
        <v>531</v>
      </c>
      <c r="G1228" s="155">
        <f>G1229</f>
        <v>15</v>
      </c>
    </row>
    <row r="1229" spans="1:7" ht="19.5" customHeight="1">
      <c r="A1229" s="152" t="s">
        <v>91</v>
      </c>
      <c r="B1229" s="210" t="s">
        <v>477</v>
      </c>
      <c r="C1229" s="147" t="s">
        <v>433</v>
      </c>
      <c r="D1229" s="147" t="s">
        <v>436</v>
      </c>
      <c r="E1229" s="147" t="s">
        <v>763</v>
      </c>
      <c r="F1229" s="147" t="s">
        <v>38</v>
      </c>
      <c r="G1229" s="158">
        <v>15</v>
      </c>
    </row>
    <row r="1230" spans="1:7" ht="24">
      <c r="A1230" s="157" t="s">
        <v>634</v>
      </c>
      <c r="B1230" s="210" t="s">
        <v>477</v>
      </c>
      <c r="C1230" s="147" t="s">
        <v>433</v>
      </c>
      <c r="D1230" s="147" t="s">
        <v>436</v>
      </c>
      <c r="E1230" s="147" t="s">
        <v>764</v>
      </c>
      <c r="F1230" s="147"/>
      <c r="G1230" s="155">
        <f>G1231+G1233</f>
        <v>11.1</v>
      </c>
    </row>
    <row r="1231" spans="1:7" ht="24">
      <c r="A1231" s="157" t="s">
        <v>1066</v>
      </c>
      <c r="B1231" s="210" t="s">
        <v>477</v>
      </c>
      <c r="C1231" s="147" t="s">
        <v>433</v>
      </c>
      <c r="D1231" s="147" t="s">
        <v>436</v>
      </c>
      <c r="E1231" s="147" t="s">
        <v>764</v>
      </c>
      <c r="F1231" s="147" t="s">
        <v>529</v>
      </c>
      <c r="G1231" s="155">
        <f>G1232</f>
        <v>0.6</v>
      </c>
    </row>
    <row r="1232" spans="1:7" ht="24">
      <c r="A1232" s="157" t="s">
        <v>920</v>
      </c>
      <c r="B1232" s="210" t="s">
        <v>477</v>
      </c>
      <c r="C1232" s="147" t="s">
        <v>433</v>
      </c>
      <c r="D1232" s="147" t="s">
        <v>436</v>
      </c>
      <c r="E1232" s="147" t="s">
        <v>764</v>
      </c>
      <c r="F1232" s="147" t="s">
        <v>429</v>
      </c>
      <c r="G1232" s="158">
        <v>0.6</v>
      </c>
    </row>
    <row r="1233" spans="1:7" ht="24">
      <c r="A1233" s="153" t="s">
        <v>530</v>
      </c>
      <c r="B1233" s="210" t="s">
        <v>477</v>
      </c>
      <c r="C1233" s="147" t="s">
        <v>433</v>
      </c>
      <c r="D1233" s="147" t="s">
        <v>436</v>
      </c>
      <c r="E1233" s="147" t="s">
        <v>764</v>
      </c>
      <c r="F1233" s="147" t="s">
        <v>531</v>
      </c>
      <c r="G1233" s="155">
        <f>G1234</f>
        <v>10.5</v>
      </c>
    </row>
    <row r="1234" spans="1:7" ht="24">
      <c r="A1234" s="152" t="s">
        <v>91</v>
      </c>
      <c r="B1234" s="210" t="s">
        <v>477</v>
      </c>
      <c r="C1234" s="147" t="s">
        <v>433</v>
      </c>
      <c r="D1234" s="147" t="s">
        <v>436</v>
      </c>
      <c r="E1234" s="147" t="s">
        <v>764</v>
      </c>
      <c r="F1234" s="147" t="s">
        <v>38</v>
      </c>
      <c r="G1234" s="158">
        <f>10.5</f>
        <v>10.5</v>
      </c>
    </row>
    <row r="1235" spans="1:7" ht="24">
      <c r="A1235" s="157" t="s">
        <v>1129</v>
      </c>
      <c r="B1235" s="210" t="s">
        <v>477</v>
      </c>
      <c r="C1235" s="147" t="s">
        <v>433</v>
      </c>
      <c r="D1235" s="147" t="s">
        <v>436</v>
      </c>
      <c r="E1235" s="147" t="s">
        <v>765</v>
      </c>
      <c r="F1235" s="147"/>
      <c r="G1235" s="155">
        <f>G1236+G1238</f>
        <v>28.4</v>
      </c>
    </row>
    <row r="1236" spans="1:7" ht="24">
      <c r="A1236" s="157" t="s">
        <v>1066</v>
      </c>
      <c r="B1236" s="210" t="s">
        <v>477</v>
      </c>
      <c r="C1236" s="147" t="s">
        <v>433</v>
      </c>
      <c r="D1236" s="147" t="s">
        <v>436</v>
      </c>
      <c r="E1236" s="147" t="s">
        <v>765</v>
      </c>
      <c r="F1236" s="147" t="s">
        <v>529</v>
      </c>
      <c r="G1236" s="155">
        <f>G1237</f>
        <v>1.4</v>
      </c>
    </row>
    <row r="1237" spans="1:7" ht="24">
      <c r="A1237" s="157" t="s">
        <v>920</v>
      </c>
      <c r="B1237" s="210" t="s">
        <v>477</v>
      </c>
      <c r="C1237" s="147" t="s">
        <v>433</v>
      </c>
      <c r="D1237" s="147" t="s">
        <v>436</v>
      </c>
      <c r="E1237" s="147" t="s">
        <v>765</v>
      </c>
      <c r="F1237" s="147" t="s">
        <v>429</v>
      </c>
      <c r="G1237" s="158">
        <f>1.4</f>
        <v>1.4</v>
      </c>
    </row>
    <row r="1238" spans="1:7" ht="24">
      <c r="A1238" s="153" t="s">
        <v>530</v>
      </c>
      <c r="B1238" s="210" t="s">
        <v>477</v>
      </c>
      <c r="C1238" s="147" t="s">
        <v>433</v>
      </c>
      <c r="D1238" s="147" t="s">
        <v>436</v>
      </c>
      <c r="E1238" s="147" t="s">
        <v>765</v>
      </c>
      <c r="F1238" s="147" t="s">
        <v>531</v>
      </c>
      <c r="G1238" s="155">
        <f>G1239</f>
        <v>27</v>
      </c>
    </row>
    <row r="1239" spans="1:7" ht="15.75" customHeight="1">
      <c r="A1239" s="152" t="s">
        <v>91</v>
      </c>
      <c r="B1239" s="210" t="s">
        <v>477</v>
      </c>
      <c r="C1239" s="147" t="s">
        <v>433</v>
      </c>
      <c r="D1239" s="147" t="s">
        <v>436</v>
      </c>
      <c r="E1239" s="147" t="s">
        <v>765</v>
      </c>
      <c r="F1239" s="147" t="s">
        <v>38</v>
      </c>
      <c r="G1239" s="158">
        <f>27</f>
        <v>27</v>
      </c>
    </row>
    <row r="1240" spans="1:7" ht="24">
      <c r="A1240" s="157" t="s">
        <v>397</v>
      </c>
      <c r="B1240" s="210" t="s">
        <v>477</v>
      </c>
      <c r="C1240" s="147" t="s">
        <v>433</v>
      </c>
      <c r="D1240" s="147" t="s">
        <v>436</v>
      </c>
      <c r="E1240" s="147" t="s">
        <v>766</v>
      </c>
      <c r="F1240" s="147"/>
      <c r="G1240" s="155">
        <f>G1241+G1243</f>
        <v>11.1</v>
      </c>
    </row>
    <row r="1241" spans="1:7" ht="24">
      <c r="A1241" s="157" t="s">
        <v>1066</v>
      </c>
      <c r="B1241" s="210" t="s">
        <v>477</v>
      </c>
      <c r="C1241" s="147" t="s">
        <v>433</v>
      </c>
      <c r="D1241" s="147" t="s">
        <v>436</v>
      </c>
      <c r="E1241" s="147" t="s">
        <v>766</v>
      </c>
      <c r="F1241" s="147" t="s">
        <v>529</v>
      </c>
      <c r="G1241" s="155">
        <f>G1242</f>
        <v>0.6</v>
      </c>
    </row>
    <row r="1242" spans="1:7" ht="18" customHeight="1">
      <c r="A1242" s="157" t="s">
        <v>920</v>
      </c>
      <c r="B1242" s="210" t="s">
        <v>477</v>
      </c>
      <c r="C1242" s="147" t="s">
        <v>433</v>
      </c>
      <c r="D1242" s="147" t="s">
        <v>436</v>
      </c>
      <c r="E1242" s="147" t="s">
        <v>766</v>
      </c>
      <c r="F1242" s="147" t="s">
        <v>429</v>
      </c>
      <c r="G1242" s="158">
        <f>0.6</f>
        <v>0.6</v>
      </c>
    </row>
    <row r="1243" spans="1:7" ht="24">
      <c r="A1243" s="153" t="s">
        <v>530</v>
      </c>
      <c r="B1243" s="210" t="s">
        <v>477</v>
      </c>
      <c r="C1243" s="147" t="s">
        <v>433</v>
      </c>
      <c r="D1243" s="147" t="s">
        <v>436</v>
      </c>
      <c r="E1243" s="147" t="s">
        <v>766</v>
      </c>
      <c r="F1243" s="147" t="s">
        <v>531</v>
      </c>
      <c r="G1243" s="155">
        <f>G1244</f>
        <v>10.5</v>
      </c>
    </row>
    <row r="1244" spans="1:7" ht="15.75" customHeight="1">
      <c r="A1244" s="152" t="s">
        <v>91</v>
      </c>
      <c r="B1244" s="210" t="s">
        <v>477</v>
      </c>
      <c r="C1244" s="147" t="s">
        <v>433</v>
      </c>
      <c r="D1244" s="147" t="s">
        <v>436</v>
      </c>
      <c r="E1244" s="147" t="s">
        <v>766</v>
      </c>
      <c r="F1244" s="147" t="s">
        <v>38</v>
      </c>
      <c r="G1244" s="158">
        <f>10.5</f>
        <v>10.5</v>
      </c>
    </row>
    <row r="1245" spans="1:7" ht="24">
      <c r="A1245" s="157" t="s">
        <v>261</v>
      </c>
      <c r="B1245" s="210" t="s">
        <v>477</v>
      </c>
      <c r="C1245" s="147" t="s">
        <v>433</v>
      </c>
      <c r="D1245" s="147" t="s">
        <v>436</v>
      </c>
      <c r="E1245" s="147" t="s">
        <v>767</v>
      </c>
      <c r="F1245" s="147"/>
      <c r="G1245" s="155">
        <f>G1246+G1248</f>
        <v>3520</v>
      </c>
    </row>
    <row r="1246" spans="1:7" ht="24">
      <c r="A1246" s="157" t="s">
        <v>1066</v>
      </c>
      <c r="B1246" s="210" t="s">
        <v>477</v>
      </c>
      <c r="C1246" s="147" t="s">
        <v>433</v>
      </c>
      <c r="D1246" s="147" t="s">
        <v>436</v>
      </c>
      <c r="E1246" s="147" t="s">
        <v>767</v>
      </c>
      <c r="F1246" s="147" t="s">
        <v>529</v>
      </c>
      <c r="G1246" s="155">
        <f>G1247</f>
        <v>100</v>
      </c>
    </row>
    <row r="1247" spans="1:7" ht="24">
      <c r="A1247" s="157" t="s">
        <v>920</v>
      </c>
      <c r="B1247" s="210" t="s">
        <v>477</v>
      </c>
      <c r="C1247" s="147" t="s">
        <v>433</v>
      </c>
      <c r="D1247" s="147" t="s">
        <v>436</v>
      </c>
      <c r="E1247" s="147" t="s">
        <v>767</v>
      </c>
      <c r="F1247" s="147" t="s">
        <v>429</v>
      </c>
      <c r="G1247" s="158">
        <f>120-15-5</f>
        <v>100</v>
      </c>
    </row>
    <row r="1248" spans="1:7" ht="24">
      <c r="A1248" s="153" t="s">
        <v>530</v>
      </c>
      <c r="B1248" s="210" t="s">
        <v>477</v>
      </c>
      <c r="C1248" s="147" t="s">
        <v>433</v>
      </c>
      <c r="D1248" s="147" t="s">
        <v>436</v>
      </c>
      <c r="E1248" s="147" t="s">
        <v>767</v>
      </c>
      <c r="F1248" s="147" t="s">
        <v>531</v>
      </c>
      <c r="G1248" s="155">
        <f>G1249</f>
        <v>3420</v>
      </c>
    </row>
    <row r="1249" spans="1:7" ht="17.25" customHeight="1">
      <c r="A1249" s="152" t="s">
        <v>91</v>
      </c>
      <c r="B1249" s="210" t="s">
        <v>477</v>
      </c>
      <c r="C1249" s="147" t="s">
        <v>433</v>
      </c>
      <c r="D1249" s="147" t="s">
        <v>436</v>
      </c>
      <c r="E1249" s="147" t="s">
        <v>767</v>
      </c>
      <c r="F1249" s="147" t="s">
        <v>38</v>
      </c>
      <c r="G1249" s="158">
        <f>3420</f>
        <v>3420</v>
      </c>
    </row>
    <row r="1250" spans="1:7" ht="36">
      <c r="A1250" s="157" t="s">
        <v>891</v>
      </c>
      <c r="B1250" s="210" t="s">
        <v>477</v>
      </c>
      <c r="C1250" s="147" t="s">
        <v>433</v>
      </c>
      <c r="D1250" s="147" t="s">
        <v>436</v>
      </c>
      <c r="E1250" s="147" t="s">
        <v>768</v>
      </c>
      <c r="F1250" s="147"/>
      <c r="G1250" s="155">
        <f>G1251+G1253</f>
        <v>29.9</v>
      </c>
    </row>
    <row r="1251" spans="1:7" ht="24">
      <c r="A1251" s="157" t="s">
        <v>1066</v>
      </c>
      <c r="B1251" s="210" t="s">
        <v>477</v>
      </c>
      <c r="C1251" s="147" t="s">
        <v>433</v>
      </c>
      <c r="D1251" s="147" t="s">
        <v>436</v>
      </c>
      <c r="E1251" s="147" t="s">
        <v>768</v>
      </c>
      <c r="F1251" s="147" t="s">
        <v>529</v>
      </c>
      <c r="G1251" s="155">
        <f>G1252</f>
        <v>1.4</v>
      </c>
    </row>
    <row r="1252" spans="1:7" ht="24">
      <c r="A1252" s="157" t="s">
        <v>920</v>
      </c>
      <c r="B1252" s="210" t="s">
        <v>477</v>
      </c>
      <c r="C1252" s="147" t="s">
        <v>433</v>
      </c>
      <c r="D1252" s="147" t="s">
        <v>436</v>
      </c>
      <c r="E1252" s="147" t="s">
        <v>768</v>
      </c>
      <c r="F1252" s="147" t="s">
        <v>429</v>
      </c>
      <c r="G1252" s="158">
        <f>1.4</f>
        <v>1.4</v>
      </c>
    </row>
    <row r="1253" spans="1:7" ht="24">
      <c r="A1253" s="153" t="s">
        <v>530</v>
      </c>
      <c r="B1253" s="210" t="s">
        <v>477</v>
      </c>
      <c r="C1253" s="147" t="s">
        <v>433</v>
      </c>
      <c r="D1253" s="147" t="s">
        <v>436</v>
      </c>
      <c r="E1253" s="147" t="s">
        <v>768</v>
      </c>
      <c r="F1253" s="147" t="s">
        <v>531</v>
      </c>
      <c r="G1253" s="155">
        <f>G1254</f>
        <v>28.5</v>
      </c>
    </row>
    <row r="1254" spans="1:7" ht="21" customHeight="1">
      <c r="A1254" s="152" t="s">
        <v>91</v>
      </c>
      <c r="B1254" s="210" t="s">
        <v>477</v>
      </c>
      <c r="C1254" s="147" t="s">
        <v>433</v>
      </c>
      <c r="D1254" s="147" t="s">
        <v>436</v>
      </c>
      <c r="E1254" s="147" t="s">
        <v>768</v>
      </c>
      <c r="F1254" s="147" t="s">
        <v>38</v>
      </c>
      <c r="G1254" s="158">
        <v>28.5</v>
      </c>
    </row>
    <row r="1255" spans="1:7" ht="60">
      <c r="A1255" s="152" t="s">
        <v>1081</v>
      </c>
      <c r="B1255" s="210" t="s">
        <v>477</v>
      </c>
      <c r="C1255" s="147" t="s">
        <v>433</v>
      </c>
      <c r="D1255" s="147" t="s">
        <v>436</v>
      </c>
      <c r="E1255" s="147" t="s">
        <v>1082</v>
      </c>
      <c r="F1255" s="147"/>
      <c r="G1255" s="155">
        <f>G1256</f>
        <v>6500</v>
      </c>
    </row>
    <row r="1256" spans="1:7" ht="24">
      <c r="A1256" s="153" t="s">
        <v>530</v>
      </c>
      <c r="B1256" s="210" t="s">
        <v>477</v>
      </c>
      <c r="C1256" s="147" t="s">
        <v>433</v>
      </c>
      <c r="D1256" s="147" t="s">
        <v>436</v>
      </c>
      <c r="E1256" s="147" t="s">
        <v>1082</v>
      </c>
      <c r="F1256" s="147" t="s">
        <v>531</v>
      </c>
      <c r="G1256" s="155">
        <f>G1257</f>
        <v>6500</v>
      </c>
    </row>
    <row r="1257" spans="1:7" ht="24">
      <c r="A1257" s="152" t="s">
        <v>91</v>
      </c>
      <c r="B1257" s="210" t="s">
        <v>477</v>
      </c>
      <c r="C1257" s="147" t="s">
        <v>433</v>
      </c>
      <c r="D1257" s="147" t="s">
        <v>436</v>
      </c>
      <c r="E1257" s="147" t="s">
        <v>1082</v>
      </c>
      <c r="F1257" s="147" t="s">
        <v>38</v>
      </c>
      <c r="G1257" s="158">
        <f>6500</f>
        <v>6500</v>
      </c>
    </row>
    <row r="1258" spans="1:7" ht="24">
      <c r="A1258" s="152" t="s">
        <v>769</v>
      </c>
      <c r="B1258" s="210" t="s">
        <v>477</v>
      </c>
      <c r="C1258" s="147" t="s">
        <v>433</v>
      </c>
      <c r="D1258" s="147" t="s">
        <v>436</v>
      </c>
      <c r="E1258" s="147" t="s">
        <v>770</v>
      </c>
      <c r="F1258" s="147"/>
      <c r="G1258" s="155">
        <f>G1259+G1262+G1265+G1268+G1273+G1278+G1281+G1284</f>
        <v>15932</v>
      </c>
    </row>
    <row r="1259" spans="1:7" ht="20.25" customHeight="1">
      <c r="A1259" s="157" t="s">
        <v>971</v>
      </c>
      <c r="B1259" s="210" t="s">
        <v>477</v>
      </c>
      <c r="C1259" s="147" t="s">
        <v>433</v>
      </c>
      <c r="D1259" s="147" t="s">
        <v>436</v>
      </c>
      <c r="E1259" s="147" t="s">
        <v>771</v>
      </c>
      <c r="F1259" s="147"/>
      <c r="G1259" s="155">
        <f>G1260</f>
        <v>1462</v>
      </c>
    </row>
    <row r="1260" spans="1:7" ht="24">
      <c r="A1260" s="153" t="s">
        <v>530</v>
      </c>
      <c r="B1260" s="210" t="s">
        <v>477</v>
      </c>
      <c r="C1260" s="147" t="s">
        <v>433</v>
      </c>
      <c r="D1260" s="147" t="s">
        <v>436</v>
      </c>
      <c r="E1260" s="147" t="s">
        <v>771</v>
      </c>
      <c r="F1260" s="147" t="s">
        <v>531</v>
      </c>
      <c r="G1260" s="155">
        <f>G1261</f>
        <v>1462</v>
      </c>
    </row>
    <row r="1261" spans="1:7" ht="24">
      <c r="A1261" s="152" t="s">
        <v>91</v>
      </c>
      <c r="B1261" s="210" t="s">
        <v>477</v>
      </c>
      <c r="C1261" s="147" t="s">
        <v>433</v>
      </c>
      <c r="D1261" s="147" t="s">
        <v>436</v>
      </c>
      <c r="E1261" s="147" t="s">
        <v>771</v>
      </c>
      <c r="F1261" s="147" t="s">
        <v>38</v>
      </c>
      <c r="G1261" s="158">
        <f>1462</f>
        <v>1462</v>
      </c>
    </row>
    <row r="1262" spans="1:7" ht="36">
      <c r="A1262" s="157" t="s">
        <v>407</v>
      </c>
      <c r="B1262" s="210" t="s">
        <v>477</v>
      </c>
      <c r="C1262" s="147" t="s">
        <v>433</v>
      </c>
      <c r="D1262" s="147" t="s">
        <v>436</v>
      </c>
      <c r="E1262" s="147" t="s">
        <v>772</v>
      </c>
      <c r="F1262" s="147"/>
      <c r="G1262" s="155">
        <f>G1263</f>
        <v>336</v>
      </c>
    </row>
    <row r="1263" spans="1:7" ht="24">
      <c r="A1263" s="153" t="s">
        <v>530</v>
      </c>
      <c r="B1263" s="210" t="s">
        <v>477</v>
      </c>
      <c r="C1263" s="147" t="s">
        <v>433</v>
      </c>
      <c r="D1263" s="147" t="s">
        <v>436</v>
      </c>
      <c r="E1263" s="147" t="s">
        <v>772</v>
      </c>
      <c r="F1263" s="147" t="s">
        <v>531</v>
      </c>
      <c r="G1263" s="155">
        <f>G1264</f>
        <v>336</v>
      </c>
    </row>
    <row r="1264" spans="1:7" ht="24">
      <c r="A1264" s="152" t="s">
        <v>91</v>
      </c>
      <c r="B1264" s="210" t="s">
        <v>477</v>
      </c>
      <c r="C1264" s="147" t="s">
        <v>433</v>
      </c>
      <c r="D1264" s="147" t="s">
        <v>436</v>
      </c>
      <c r="E1264" s="147" t="s">
        <v>772</v>
      </c>
      <c r="F1264" s="147" t="s">
        <v>38</v>
      </c>
      <c r="G1264" s="158">
        <f>336</f>
        <v>336</v>
      </c>
    </row>
    <row r="1265" spans="1:7" ht="24">
      <c r="A1265" s="157" t="s">
        <v>502</v>
      </c>
      <c r="B1265" s="210" t="s">
        <v>477</v>
      </c>
      <c r="C1265" s="147" t="s">
        <v>433</v>
      </c>
      <c r="D1265" s="147" t="s">
        <v>436</v>
      </c>
      <c r="E1265" s="147" t="s">
        <v>773</v>
      </c>
      <c r="F1265" s="147"/>
      <c r="G1265" s="155">
        <f>G1266</f>
        <v>100</v>
      </c>
    </row>
    <row r="1266" spans="1:7" ht="24">
      <c r="A1266" s="153" t="s">
        <v>530</v>
      </c>
      <c r="B1266" s="210" t="s">
        <v>477</v>
      </c>
      <c r="C1266" s="147" t="s">
        <v>433</v>
      </c>
      <c r="D1266" s="147" t="s">
        <v>436</v>
      </c>
      <c r="E1266" s="147" t="s">
        <v>773</v>
      </c>
      <c r="F1266" s="147" t="s">
        <v>531</v>
      </c>
      <c r="G1266" s="155">
        <f>G1267</f>
        <v>100</v>
      </c>
    </row>
    <row r="1267" spans="1:7" ht="24">
      <c r="A1267" s="152" t="s">
        <v>91</v>
      </c>
      <c r="B1267" s="210" t="s">
        <v>477</v>
      </c>
      <c r="C1267" s="147" t="s">
        <v>433</v>
      </c>
      <c r="D1267" s="147" t="s">
        <v>436</v>
      </c>
      <c r="E1267" s="147" t="s">
        <v>773</v>
      </c>
      <c r="F1267" s="147" t="s">
        <v>38</v>
      </c>
      <c r="G1267" s="158">
        <f>100</f>
        <v>100</v>
      </c>
    </row>
    <row r="1268" spans="1:7" ht="24">
      <c r="A1268" s="157" t="s">
        <v>262</v>
      </c>
      <c r="B1268" s="210" t="s">
        <v>477</v>
      </c>
      <c r="C1268" s="147" t="s">
        <v>433</v>
      </c>
      <c r="D1268" s="147" t="s">
        <v>436</v>
      </c>
      <c r="E1268" s="147" t="s">
        <v>774</v>
      </c>
      <c r="F1268" s="147"/>
      <c r="G1268" s="155">
        <f>G1269+G1271</f>
        <v>5636</v>
      </c>
    </row>
    <row r="1269" spans="1:7" ht="24">
      <c r="A1269" s="157" t="s">
        <v>1066</v>
      </c>
      <c r="B1269" s="210" t="s">
        <v>477</v>
      </c>
      <c r="C1269" s="147" t="s">
        <v>433</v>
      </c>
      <c r="D1269" s="147" t="s">
        <v>436</v>
      </c>
      <c r="E1269" s="147" t="s">
        <v>774</v>
      </c>
      <c r="F1269" s="147" t="s">
        <v>529</v>
      </c>
      <c r="G1269" s="155">
        <f>G1270</f>
        <v>20</v>
      </c>
    </row>
    <row r="1270" spans="1:7" ht="24">
      <c r="A1270" s="157" t="s">
        <v>920</v>
      </c>
      <c r="B1270" s="210" t="s">
        <v>477</v>
      </c>
      <c r="C1270" s="147" t="s">
        <v>433</v>
      </c>
      <c r="D1270" s="147" t="s">
        <v>436</v>
      </c>
      <c r="E1270" s="147" t="s">
        <v>774</v>
      </c>
      <c r="F1270" s="147" t="s">
        <v>429</v>
      </c>
      <c r="G1270" s="158">
        <v>20</v>
      </c>
    </row>
    <row r="1271" spans="1:7" ht="24">
      <c r="A1271" s="153" t="s">
        <v>530</v>
      </c>
      <c r="B1271" s="210" t="s">
        <v>477</v>
      </c>
      <c r="C1271" s="147" t="s">
        <v>433</v>
      </c>
      <c r="D1271" s="147" t="s">
        <v>436</v>
      </c>
      <c r="E1271" s="147" t="s">
        <v>774</v>
      </c>
      <c r="F1271" s="147" t="s">
        <v>531</v>
      </c>
      <c r="G1271" s="155">
        <f>G1272</f>
        <v>5616</v>
      </c>
    </row>
    <row r="1272" spans="1:7" ht="24">
      <c r="A1272" s="152" t="s">
        <v>91</v>
      </c>
      <c r="B1272" s="210" t="s">
        <v>477</v>
      </c>
      <c r="C1272" s="147" t="s">
        <v>433</v>
      </c>
      <c r="D1272" s="147" t="s">
        <v>436</v>
      </c>
      <c r="E1272" s="147" t="s">
        <v>774</v>
      </c>
      <c r="F1272" s="147" t="s">
        <v>38</v>
      </c>
      <c r="G1272" s="158">
        <f>980+3046+780+30+210+60+60+450</f>
        <v>5616</v>
      </c>
    </row>
    <row r="1273" spans="1:7" ht="24">
      <c r="A1273" s="157" t="s">
        <v>492</v>
      </c>
      <c r="B1273" s="210" t="s">
        <v>477</v>
      </c>
      <c r="C1273" s="147" t="s">
        <v>433</v>
      </c>
      <c r="D1273" s="147" t="s">
        <v>436</v>
      </c>
      <c r="E1273" s="147" t="s">
        <v>775</v>
      </c>
      <c r="F1273" s="147"/>
      <c r="G1273" s="155">
        <f>G1274+G1276</f>
        <v>3000</v>
      </c>
    </row>
    <row r="1274" spans="1:7" ht="24">
      <c r="A1274" s="157" t="s">
        <v>1066</v>
      </c>
      <c r="B1274" s="210" t="s">
        <v>477</v>
      </c>
      <c r="C1274" s="147" t="s">
        <v>433</v>
      </c>
      <c r="D1274" s="147" t="s">
        <v>436</v>
      </c>
      <c r="E1274" s="147" t="s">
        <v>775</v>
      </c>
      <c r="F1274" s="147" t="s">
        <v>529</v>
      </c>
      <c r="G1274" s="155">
        <f>G1275</f>
        <v>50</v>
      </c>
    </row>
    <row r="1275" spans="1:7" ht="24">
      <c r="A1275" s="157" t="s">
        <v>920</v>
      </c>
      <c r="B1275" s="210" t="s">
        <v>477</v>
      </c>
      <c r="C1275" s="147" t="s">
        <v>433</v>
      </c>
      <c r="D1275" s="147" t="s">
        <v>436</v>
      </c>
      <c r="E1275" s="147" t="s">
        <v>775</v>
      </c>
      <c r="F1275" s="147" t="s">
        <v>429</v>
      </c>
      <c r="G1275" s="158">
        <v>50</v>
      </c>
    </row>
    <row r="1276" spans="1:7" ht="24">
      <c r="A1276" s="153" t="s">
        <v>530</v>
      </c>
      <c r="B1276" s="210" t="s">
        <v>477</v>
      </c>
      <c r="C1276" s="147" t="s">
        <v>433</v>
      </c>
      <c r="D1276" s="147" t="s">
        <v>436</v>
      </c>
      <c r="E1276" s="147" t="s">
        <v>775</v>
      </c>
      <c r="F1276" s="147" t="s">
        <v>531</v>
      </c>
      <c r="G1276" s="155">
        <f>G1277</f>
        <v>2950</v>
      </c>
    </row>
    <row r="1277" spans="1:7" ht="24">
      <c r="A1277" s="152" t="s">
        <v>91</v>
      </c>
      <c r="B1277" s="210" t="s">
        <v>477</v>
      </c>
      <c r="C1277" s="147" t="s">
        <v>433</v>
      </c>
      <c r="D1277" s="147" t="s">
        <v>436</v>
      </c>
      <c r="E1277" s="147" t="s">
        <v>775</v>
      </c>
      <c r="F1277" s="147" t="s">
        <v>38</v>
      </c>
      <c r="G1277" s="158">
        <f>2950</f>
        <v>2950</v>
      </c>
    </row>
    <row r="1278" spans="1:12" ht="48">
      <c r="A1278" s="182" t="s">
        <v>776</v>
      </c>
      <c r="B1278" s="210" t="s">
        <v>477</v>
      </c>
      <c r="C1278" s="147" t="s">
        <v>433</v>
      </c>
      <c r="D1278" s="147" t="s">
        <v>436</v>
      </c>
      <c r="E1278" s="147" t="s">
        <v>777</v>
      </c>
      <c r="F1278" s="147"/>
      <c r="G1278" s="155">
        <f>G1279</f>
        <v>1270</v>
      </c>
      <c r="L1278" s="63"/>
    </row>
    <row r="1279" spans="1:7" ht="24">
      <c r="A1279" s="153" t="s">
        <v>530</v>
      </c>
      <c r="B1279" s="210" t="s">
        <v>477</v>
      </c>
      <c r="C1279" s="147" t="s">
        <v>433</v>
      </c>
      <c r="D1279" s="147" t="s">
        <v>436</v>
      </c>
      <c r="E1279" s="147" t="s">
        <v>777</v>
      </c>
      <c r="F1279" s="147" t="s">
        <v>531</v>
      </c>
      <c r="G1279" s="155">
        <f>G1280</f>
        <v>1270</v>
      </c>
    </row>
    <row r="1280" spans="1:7" ht="24">
      <c r="A1280" s="152" t="s">
        <v>171</v>
      </c>
      <c r="B1280" s="210" t="s">
        <v>477</v>
      </c>
      <c r="C1280" s="147" t="s">
        <v>433</v>
      </c>
      <c r="D1280" s="147" t="s">
        <v>436</v>
      </c>
      <c r="E1280" s="147" t="s">
        <v>777</v>
      </c>
      <c r="F1280" s="147" t="s">
        <v>399</v>
      </c>
      <c r="G1280" s="158">
        <v>1270</v>
      </c>
    </row>
    <row r="1281" spans="1:7" ht="24">
      <c r="A1281" s="157" t="s">
        <v>1115</v>
      </c>
      <c r="B1281" s="210" t="s">
        <v>463</v>
      </c>
      <c r="C1281" s="147" t="s">
        <v>433</v>
      </c>
      <c r="D1281" s="147" t="s">
        <v>436</v>
      </c>
      <c r="E1281" s="147" t="s">
        <v>778</v>
      </c>
      <c r="F1281" s="147"/>
      <c r="G1281" s="155">
        <f>G1282</f>
        <v>4000</v>
      </c>
    </row>
    <row r="1282" spans="1:7" ht="20.25" customHeight="1">
      <c r="A1282" s="153" t="s">
        <v>530</v>
      </c>
      <c r="B1282" s="210" t="s">
        <v>477</v>
      </c>
      <c r="C1282" s="147" t="s">
        <v>433</v>
      </c>
      <c r="D1282" s="147" t="s">
        <v>436</v>
      </c>
      <c r="E1282" s="147" t="s">
        <v>778</v>
      </c>
      <c r="F1282" s="147" t="s">
        <v>531</v>
      </c>
      <c r="G1282" s="155">
        <f>G1283</f>
        <v>4000</v>
      </c>
    </row>
    <row r="1283" spans="1:7" ht="26.25" customHeight="1">
      <c r="A1283" s="152" t="s">
        <v>91</v>
      </c>
      <c r="B1283" s="210" t="s">
        <v>477</v>
      </c>
      <c r="C1283" s="147" t="s">
        <v>433</v>
      </c>
      <c r="D1283" s="147" t="s">
        <v>436</v>
      </c>
      <c r="E1283" s="147" t="s">
        <v>778</v>
      </c>
      <c r="F1283" s="147" t="s">
        <v>38</v>
      </c>
      <c r="G1283" s="158">
        <v>4000</v>
      </c>
    </row>
    <row r="1284" spans="1:7" ht="36">
      <c r="A1284" s="152" t="s">
        <v>1700</v>
      </c>
      <c r="B1284" s="210" t="s">
        <v>477</v>
      </c>
      <c r="C1284" s="147" t="s">
        <v>433</v>
      </c>
      <c r="D1284" s="147" t="s">
        <v>436</v>
      </c>
      <c r="E1284" s="147" t="s">
        <v>1701</v>
      </c>
      <c r="F1284" s="147"/>
      <c r="G1284" s="155">
        <f>G1285</f>
        <v>128</v>
      </c>
    </row>
    <row r="1285" spans="1:7" ht="24">
      <c r="A1285" s="153" t="s">
        <v>530</v>
      </c>
      <c r="B1285" s="210" t="s">
        <v>477</v>
      </c>
      <c r="C1285" s="147" t="s">
        <v>433</v>
      </c>
      <c r="D1285" s="147" t="s">
        <v>436</v>
      </c>
      <c r="E1285" s="147" t="s">
        <v>1701</v>
      </c>
      <c r="F1285" s="147" t="s">
        <v>531</v>
      </c>
      <c r="G1285" s="155">
        <f>G1286</f>
        <v>128</v>
      </c>
    </row>
    <row r="1286" spans="1:7" ht="15">
      <c r="A1286" s="152" t="s">
        <v>91</v>
      </c>
      <c r="B1286" s="210" t="s">
        <v>477</v>
      </c>
      <c r="C1286" s="147" t="s">
        <v>433</v>
      </c>
      <c r="D1286" s="147" t="s">
        <v>436</v>
      </c>
      <c r="E1286" s="147" t="s">
        <v>1701</v>
      </c>
      <c r="F1286" s="147" t="s">
        <v>38</v>
      </c>
      <c r="G1286" s="158">
        <v>128</v>
      </c>
    </row>
    <row r="1287" spans="1:7" ht="19.5" customHeight="1">
      <c r="A1287" s="152" t="s">
        <v>53</v>
      </c>
      <c r="B1287" s="210" t="s">
        <v>477</v>
      </c>
      <c r="C1287" s="147" t="s">
        <v>433</v>
      </c>
      <c r="D1287" s="147" t="s">
        <v>436</v>
      </c>
      <c r="E1287" s="147" t="s">
        <v>54</v>
      </c>
      <c r="F1287" s="147"/>
      <c r="G1287" s="155">
        <f>G1288+G1294+G1299</f>
        <v>34854.7</v>
      </c>
    </row>
    <row r="1288" spans="1:7" ht="108">
      <c r="A1288" s="182" t="s">
        <v>919</v>
      </c>
      <c r="B1288" s="210" t="s">
        <v>477</v>
      </c>
      <c r="C1288" s="147" t="s">
        <v>433</v>
      </c>
      <c r="D1288" s="147" t="s">
        <v>436</v>
      </c>
      <c r="E1288" s="147" t="s">
        <v>55</v>
      </c>
      <c r="F1288" s="147"/>
      <c r="G1288" s="155">
        <f>G1289+G1291</f>
        <v>403</v>
      </c>
    </row>
    <row r="1289" spans="1:7" ht="24">
      <c r="A1289" s="157" t="s">
        <v>1066</v>
      </c>
      <c r="B1289" s="210" t="s">
        <v>477</v>
      </c>
      <c r="C1289" s="147" t="s">
        <v>433</v>
      </c>
      <c r="D1289" s="147" t="s">
        <v>436</v>
      </c>
      <c r="E1289" s="147" t="s">
        <v>55</v>
      </c>
      <c r="F1289" s="147" t="s">
        <v>529</v>
      </c>
      <c r="G1289" s="155">
        <f>G1290</f>
        <v>3</v>
      </c>
    </row>
    <row r="1290" spans="1:7" ht="24">
      <c r="A1290" s="157" t="s">
        <v>920</v>
      </c>
      <c r="B1290" s="210" t="s">
        <v>477</v>
      </c>
      <c r="C1290" s="147" t="s">
        <v>433</v>
      </c>
      <c r="D1290" s="147" t="s">
        <v>436</v>
      </c>
      <c r="E1290" s="147" t="s">
        <v>55</v>
      </c>
      <c r="F1290" s="147" t="s">
        <v>429</v>
      </c>
      <c r="G1290" s="158">
        <v>3</v>
      </c>
    </row>
    <row r="1291" spans="1:7" ht="15">
      <c r="A1291" s="153" t="s">
        <v>530</v>
      </c>
      <c r="B1291" s="210" t="s">
        <v>477</v>
      </c>
      <c r="C1291" s="147" t="s">
        <v>433</v>
      </c>
      <c r="D1291" s="147" t="s">
        <v>436</v>
      </c>
      <c r="E1291" s="147" t="s">
        <v>55</v>
      </c>
      <c r="F1291" s="147" t="s">
        <v>531</v>
      </c>
      <c r="G1291" s="155">
        <f>G1292</f>
        <v>400</v>
      </c>
    </row>
    <row r="1292" spans="1:7" ht="15">
      <c r="A1292" s="152" t="s">
        <v>91</v>
      </c>
      <c r="B1292" s="210" t="s">
        <v>477</v>
      </c>
      <c r="C1292" s="147" t="s">
        <v>433</v>
      </c>
      <c r="D1292" s="147" t="s">
        <v>436</v>
      </c>
      <c r="E1292" s="147" t="s">
        <v>55</v>
      </c>
      <c r="F1292" s="147" t="s">
        <v>531</v>
      </c>
      <c r="G1292" s="279">
        <v>400</v>
      </c>
    </row>
    <row r="1293" spans="1:7" ht="24">
      <c r="A1293" s="157" t="s">
        <v>348</v>
      </c>
      <c r="B1293" s="210" t="s">
        <v>477</v>
      </c>
      <c r="C1293" s="147" t="s">
        <v>433</v>
      </c>
      <c r="D1293" s="147" t="s">
        <v>436</v>
      </c>
      <c r="E1293" s="147" t="s">
        <v>55</v>
      </c>
      <c r="F1293" s="147" t="s">
        <v>38</v>
      </c>
      <c r="G1293" s="158">
        <v>400</v>
      </c>
    </row>
    <row r="1294" spans="1:7" ht="24">
      <c r="A1294" s="152" t="s">
        <v>921</v>
      </c>
      <c r="B1294" s="210" t="s">
        <v>477</v>
      </c>
      <c r="C1294" s="147" t="s">
        <v>433</v>
      </c>
      <c r="D1294" s="147" t="s">
        <v>436</v>
      </c>
      <c r="E1294" s="147" t="s">
        <v>56</v>
      </c>
      <c r="F1294" s="147"/>
      <c r="G1294" s="155">
        <f>G1295+G1297</f>
        <v>321.7</v>
      </c>
    </row>
    <row r="1295" spans="1:7" ht="24">
      <c r="A1295" s="157" t="s">
        <v>1066</v>
      </c>
      <c r="B1295" s="210" t="s">
        <v>477</v>
      </c>
      <c r="C1295" s="147" t="s">
        <v>433</v>
      </c>
      <c r="D1295" s="147" t="s">
        <v>436</v>
      </c>
      <c r="E1295" s="147" t="s">
        <v>56</v>
      </c>
      <c r="F1295" s="147" t="s">
        <v>529</v>
      </c>
      <c r="G1295" s="155">
        <f>G1296</f>
        <v>2.4</v>
      </c>
    </row>
    <row r="1296" spans="1:7" ht="24">
      <c r="A1296" s="157" t="s">
        <v>920</v>
      </c>
      <c r="B1296" s="210" t="s">
        <v>477</v>
      </c>
      <c r="C1296" s="147" t="s">
        <v>433</v>
      </c>
      <c r="D1296" s="147" t="s">
        <v>436</v>
      </c>
      <c r="E1296" s="147" t="s">
        <v>56</v>
      </c>
      <c r="F1296" s="147" t="s">
        <v>429</v>
      </c>
      <c r="G1296" s="158">
        <v>2.4</v>
      </c>
    </row>
    <row r="1297" spans="1:7" ht="15">
      <c r="A1297" s="194" t="s">
        <v>530</v>
      </c>
      <c r="B1297" s="210" t="s">
        <v>477</v>
      </c>
      <c r="C1297" s="147" t="s">
        <v>433</v>
      </c>
      <c r="D1297" s="147" t="s">
        <v>436</v>
      </c>
      <c r="E1297" s="147" t="s">
        <v>56</v>
      </c>
      <c r="F1297" s="147" t="s">
        <v>531</v>
      </c>
      <c r="G1297" s="155">
        <f>G1298</f>
        <v>319.3</v>
      </c>
    </row>
    <row r="1298" spans="1:7" ht="15">
      <c r="A1298" s="152" t="s">
        <v>91</v>
      </c>
      <c r="B1298" s="210" t="s">
        <v>477</v>
      </c>
      <c r="C1298" s="147" t="s">
        <v>433</v>
      </c>
      <c r="D1298" s="147" t="s">
        <v>436</v>
      </c>
      <c r="E1298" s="147" t="s">
        <v>56</v>
      </c>
      <c r="F1298" s="147" t="s">
        <v>38</v>
      </c>
      <c r="G1298" s="158">
        <v>319.3</v>
      </c>
    </row>
    <row r="1299" spans="1:7" ht="36">
      <c r="A1299" s="153" t="s">
        <v>57</v>
      </c>
      <c r="B1299" s="210" t="s">
        <v>477</v>
      </c>
      <c r="C1299" s="147" t="s">
        <v>433</v>
      </c>
      <c r="D1299" s="147" t="s">
        <v>436</v>
      </c>
      <c r="E1299" s="147" t="s">
        <v>58</v>
      </c>
      <c r="F1299" s="147"/>
      <c r="G1299" s="155">
        <f>G1300+G1302</f>
        <v>34130</v>
      </c>
    </row>
    <row r="1300" spans="1:7" ht="24">
      <c r="A1300" s="157" t="s">
        <v>1066</v>
      </c>
      <c r="B1300" s="210" t="s">
        <v>477</v>
      </c>
      <c r="C1300" s="147" t="s">
        <v>433</v>
      </c>
      <c r="D1300" s="147" t="s">
        <v>436</v>
      </c>
      <c r="E1300" s="147" t="s">
        <v>58</v>
      </c>
      <c r="F1300" s="147" t="s">
        <v>529</v>
      </c>
      <c r="G1300" s="155">
        <f>G1301</f>
        <v>0</v>
      </c>
    </row>
    <row r="1301" spans="1:7" ht="24">
      <c r="A1301" s="157" t="s">
        <v>920</v>
      </c>
      <c r="B1301" s="210" t="s">
        <v>477</v>
      </c>
      <c r="C1301" s="147" t="s">
        <v>433</v>
      </c>
      <c r="D1301" s="147" t="s">
        <v>436</v>
      </c>
      <c r="E1301" s="147" t="s">
        <v>58</v>
      </c>
      <c r="F1301" s="147" t="s">
        <v>429</v>
      </c>
      <c r="G1301" s="158">
        <f>254.1-254.1</f>
        <v>0</v>
      </c>
    </row>
    <row r="1302" spans="1:7" ht="21" customHeight="1">
      <c r="A1302" s="153" t="s">
        <v>530</v>
      </c>
      <c r="B1302" s="210" t="s">
        <v>477</v>
      </c>
      <c r="C1302" s="147" t="s">
        <v>433</v>
      </c>
      <c r="D1302" s="147" t="s">
        <v>436</v>
      </c>
      <c r="E1302" s="147" t="s">
        <v>58</v>
      </c>
      <c r="F1302" s="147" t="s">
        <v>531</v>
      </c>
      <c r="G1302" s="155">
        <f>G1303</f>
        <v>34130</v>
      </c>
    </row>
    <row r="1303" spans="1:7" ht="24">
      <c r="A1303" s="152" t="s">
        <v>171</v>
      </c>
      <c r="B1303" s="210" t="s">
        <v>463</v>
      </c>
      <c r="C1303" s="147" t="s">
        <v>433</v>
      </c>
      <c r="D1303" s="147" t="s">
        <v>436</v>
      </c>
      <c r="E1303" s="147" t="s">
        <v>58</v>
      </c>
      <c r="F1303" s="147" t="s">
        <v>399</v>
      </c>
      <c r="G1303" s="158">
        <f>33875.9+254.1</f>
        <v>34130</v>
      </c>
    </row>
    <row r="1304" spans="1:7" ht="24">
      <c r="A1304" s="152" t="s">
        <v>59</v>
      </c>
      <c r="B1304" s="210" t="s">
        <v>463</v>
      </c>
      <c r="C1304" s="147" t="s">
        <v>433</v>
      </c>
      <c r="D1304" s="147" t="s">
        <v>436</v>
      </c>
      <c r="E1304" s="147" t="s">
        <v>702</v>
      </c>
      <c r="F1304" s="147"/>
      <c r="G1304" s="155">
        <f>G1305</f>
        <v>5640</v>
      </c>
    </row>
    <row r="1305" spans="1:7" ht="24">
      <c r="A1305" s="174" t="s">
        <v>1003</v>
      </c>
      <c r="B1305" s="210" t="s">
        <v>477</v>
      </c>
      <c r="C1305" s="147" t="s">
        <v>433</v>
      </c>
      <c r="D1305" s="147" t="s">
        <v>436</v>
      </c>
      <c r="E1305" s="147" t="s">
        <v>60</v>
      </c>
      <c r="F1305" s="147"/>
      <c r="G1305" s="155">
        <f>G1306</f>
        <v>5640</v>
      </c>
    </row>
    <row r="1306" spans="1:7" ht="15">
      <c r="A1306" s="153" t="s">
        <v>530</v>
      </c>
      <c r="B1306" s="210" t="s">
        <v>477</v>
      </c>
      <c r="C1306" s="147" t="s">
        <v>433</v>
      </c>
      <c r="D1306" s="147" t="s">
        <v>436</v>
      </c>
      <c r="E1306" s="147" t="s">
        <v>60</v>
      </c>
      <c r="F1306" s="147" t="s">
        <v>531</v>
      </c>
      <c r="G1306" s="155">
        <f>G1307</f>
        <v>5640</v>
      </c>
    </row>
    <row r="1307" spans="1:7" ht="15">
      <c r="A1307" s="152" t="s">
        <v>91</v>
      </c>
      <c r="B1307" s="210" t="s">
        <v>463</v>
      </c>
      <c r="C1307" s="147" t="s">
        <v>433</v>
      </c>
      <c r="D1307" s="147" t="s">
        <v>436</v>
      </c>
      <c r="E1307" s="147" t="s">
        <v>60</v>
      </c>
      <c r="F1307" s="147" t="s">
        <v>38</v>
      </c>
      <c r="G1307" s="158">
        <f>5640</f>
        <v>5640</v>
      </c>
    </row>
    <row r="1308" spans="1:7" ht="15">
      <c r="A1308" s="152" t="s">
        <v>1357</v>
      </c>
      <c r="B1308" s="210" t="s">
        <v>463</v>
      </c>
      <c r="C1308" s="147" t="s">
        <v>433</v>
      </c>
      <c r="D1308" s="147" t="s">
        <v>436</v>
      </c>
      <c r="E1308" s="253" t="s">
        <v>704</v>
      </c>
      <c r="F1308" s="147"/>
      <c r="G1308" s="155">
        <f>G1310+G1314</f>
        <v>505</v>
      </c>
    </row>
    <row r="1309" spans="1:7" ht="24">
      <c r="A1309" s="152" t="s">
        <v>703</v>
      </c>
      <c r="B1309" s="210" t="s">
        <v>463</v>
      </c>
      <c r="C1309" s="147" t="s">
        <v>433</v>
      </c>
      <c r="D1309" s="147" t="s">
        <v>436</v>
      </c>
      <c r="E1309" s="147" t="s">
        <v>705</v>
      </c>
      <c r="F1309" s="147"/>
      <c r="G1309" s="155">
        <f>G1310</f>
        <v>0</v>
      </c>
    </row>
    <row r="1310" spans="1:7" ht="15">
      <c r="A1310" s="157" t="s">
        <v>521</v>
      </c>
      <c r="B1310" s="210" t="s">
        <v>477</v>
      </c>
      <c r="C1310" s="147" t="s">
        <v>433</v>
      </c>
      <c r="D1310" s="147" t="s">
        <v>436</v>
      </c>
      <c r="E1310" s="147" t="s">
        <v>1104</v>
      </c>
      <c r="F1310" s="147"/>
      <c r="G1310" s="155">
        <f>G1311</f>
        <v>0</v>
      </c>
    </row>
    <row r="1311" spans="1:7" ht="15">
      <c r="A1311" s="195" t="s">
        <v>530</v>
      </c>
      <c r="B1311" s="210" t="s">
        <v>477</v>
      </c>
      <c r="C1311" s="147" t="s">
        <v>433</v>
      </c>
      <c r="D1311" s="147" t="s">
        <v>436</v>
      </c>
      <c r="E1311" s="147" t="s">
        <v>1104</v>
      </c>
      <c r="F1311" s="147" t="s">
        <v>531</v>
      </c>
      <c r="G1311" s="155">
        <f>G1313+G1312</f>
        <v>0</v>
      </c>
    </row>
    <row r="1312" spans="1:7" ht="15">
      <c r="A1312" s="152" t="s">
        <v>91</v>
      </c>
      <c r="B1312" s="210" t="s">
        <v>477</v>
      </c>
      <c r="C1312" s="147" t="s">
        <v>433</v>
      </c>
      <c r="D1312" s="147" t="s">
        <v>436</v>
      </c>
      <c r="E1312" s="147" t="s">
        <v>1104</v>
      </c>
      <c r="F1312" s="147" t="s">
        <v>38</v>
      </c>
      <c r="G1312" s="158">
        <f>400-300-100</f>
        <v>0</v>
      </c>
    </row>
    <row r="1313" spans="1:7" ht="20.25" customHeight="1">
      <c r="A1313" s="152" t="s">
        <v>171</v>
      </c>
      <c r="B1313" s="210" t="s">
        <v>477</v>
      </c>
      <c r="C1313" s="147" t="s">
        <v>433</v>
      </c>
      <c r="D1313" s="147" t="s">
        <v>436</v>
      </c>
      <c r="E1313" s="147" t="s">
        <v>1104</v>
      </c>
      <c r="F1313" s="147" t="s">
        <v>399</v>
      </c>
      <c r="G1313" s="158">
        <f>500-500+100+300-400</f>
        <v>0</v>
      </c>
    </row>
    <row r="1314" spans="1:7" ht="24">
      <c r="A1314" s="152" t="s">
        <v>1196</v>
      </c>
      <c r="B1314" s="210" t="s">
        <v>477</v>
      </c>
      <c r="C1314" s="147" t="s">
        <v>433</v>
      </c>
      <c r="D1314" s="147" t="s">
        <v>436</v>
      </c>
      <c r="E1314" s="147" t="s">
        <v>925</v>
      </c>
      <c r="F1314" s="147"/>
      <c r="G1314" s="325">
        <f>G1315</f>
        <v>505</v>
      </c>
    </row>
    <row r="1315" spans="1:7" ht="15">
      <c r="A1315" s="195" t="s">
        <v>530</v>
      </c>
      <c r="B1315" s="210" t="s">
        <v>477</v>
      </c>
      <c r="C1315" s="147" t="s">
        <v>433</v>
      </c>
      <c r="D1315" s="147" t="s">
        <v>436</v>
      </c>
      <c r="E1315" s="147" t="s">
        <v>925</v>
      </c>
      <c r="F1315" s="147" t="s">
        <v>531</v>
      </c>
      <c r="G1315" s="325">
        <f>G1316</f>
        <v>505</v>
      </c>
    </row>
    <row r="1316" spans="1:7" ht="24">
      <c r="A1316" s="152" t="s">
        <v>171</v>
      </c>
      <c r="B1316" s="210" t="s">
        <v>477</v>
      </c>
      <c r="C1316" s="147" t="s">
        <v>433</v>
      </c>
      <c r="D1316" s="147" t="s">
        <v>436</v>
      </c>
      <c r="E1316" s="147" t="s">
        <v>925</v>
      </c>
      <c r="F1316" s="147" t="s">
        <v>399</v>
      </c>
      <c r="G1316" s="158">
        <v>505</v>
      </c>
    </row>
    <row r="1317" spans="1:7" ht="24">
      <c r="A1317" s="157" t="s">
        <v>1358</v>
      </c>
      <c r="B1317" s="210" t="s">
        <v>477</v>
      </c>
      <c r="C1317" s="147" t="s">
        <v>433</v>
      </c>
      <c r="D1317" s="147" t="s">
        <v>436</v>
      </c>
      <c r="E1317" s="147" t="s">
        <v>324</v>
      </c>
      <c r="F1317" s="147"/>
      <c r="G1317" s="155">
        <f>G1318+G1325</f>
        <v>43595.3</v>
      </c>
    </row>
    <row r="1318" spans="1:7" ht="24">
      <c r="A1318" s="157" t="s">
        <v>706</v>
      </c>
      <c r="B1318" s="210" t="s">
        <v>477</v>
      </c>
      <c r="C1318" s="147" t="s">
        <v>433</v>
      </c>
      <c r="D1318" s="147" t="s">
        <v>436</v>
      </c>
      <c r="E1318" s="147" t="s">
        <v>707</v>
      </c>
      <c r="F1318" s="147"/>
      <c r="G1318" s="155">
        <f>G1319+G1322</f>
        <v>8348.3</v>
      </c>
    </row>
    <row r="1319" spans="1:7" ht="24">
      <c r="A1319" s="157" t="s">
        <v>323</v>
      </c>
      <c r="B1319" s="210" t="s">
        <v>477</v>
      </c>
      <c r="C1319" s="147" t="s">
        <v>433</v>
      </c>
      <c r="D1319" s="147" t="s">
        <v>436</v>
      </c>
      <c r="E1319" s="147" t="s">
        <v>708</v>
      </c>
      <c r="F1319" s="147"/>
      <c r="G1319" s="155">
        <f>G1320</f>
        <v>2298.3</v>
      </c>
    </row>
    <row r="1320" spans="1:7" ht="15">
      <c r="A1320" s="153" t="s">
        <v>530</v>
      </c>
      <c r="B1320" s="210" t="s">
        <v>477</v>
      </c>
      <c r="C1320" s="147" t="s">
        <v>433</v>
      </c>
      <c r="D1320" s="147" t="s">
        <v>436</v>
      </c>
      <c r="E1320" s="147" t="s">
        <v>708</v>
      </c>
      <c r="F1320" s="147" t="s">
        <v>531</v>
      </c>
      <c r="G1320" s="155">
        <f>G1321</f>
        <v>2298.3</v>
      </c>
    </row>
    <row r="1321" spans="1:7" ht="15">
      <c r="A1321" s="152" t="s">
        <v>91</v>
      </c>
      <c r="B1321" s="210" t="s">
        <v>477</v>
      </c>
      <c r="C1321" s="147" t="s">
        <v>433</v>
      </c>
      <c r="D1321" s="147" t="s">
        <v>436</v>
      </c>
      <c r="E1321" s="147" t="s">
        <v>708</v>
      </c>
      <c r="F1321" s="147" t="s">
        <v>38</v>
      </c>
      <c r="G1321" s="158">
        <v>2298.3</v>
      </c>
    </row>
    <row r="1322" spans="1:7" ht="36">
      <c r="A1322" s="152" t="s">
        <v>1236</v>
      </c>
      <c r="B1322" s="210" t="s">
        <v>477</v>
      </c>
      <c r="C1322" s="147" t="s">
        <v>433</v>
      </c>
      <c r="D1322" s="147" t="s">
        <v>436</v>
      </c>
      <c r="E1322" s="147" t="s">
        <v>1237</v>
      </c>
      <c r="F1322" s="147"/>
      <c r="G1322" s="279">
        <f>G1323</f>
        <v>6050</v>
      </c>
    </row>
    <row r="1323" spans="1:7" ht="15">
      <c r="A1323" s="153" t="s">
        <v>530</v>
      </c>
      <c r="B1323" s="210" t="s">
        <v>477</v>
      </c>
      <c r="C1323" s="147" t="s">
        <v>433</v>
      </c>
      <c r="D1323" s="147" t="s">
        <v>436</v>
      </c>
      <c r="E1323" s="147" t="s">
        <v>1237</v>
      </c>
      <c r="F1323" s="147" t="s">
        <v>531</v>
      </c>
      <c r="G1323" s="279">
        <f>G1324</f>
        <v>6050</v>
      </c>
    </row>
    <row r="1324" spans="1:7" ht="15">
      <c r="A1324" s="152" t="s">
        <v>91</v>
      </c>
      <c r="B1324" s="210" t="s">
        <v>477</v>
      </c>
      <c r="C1324" s="147" t="s">
        <v>433</v>
      </c>
      <c r="D1324" s="147" t="s">
        <v>436</v>
      </c>
      <c r="E1324" s="147" t="s">
        <v>1237</v>
      </c>
      <c r="F1324" s="147" t="s">
        <v>38</v>
      </c>
      <c r="G1324" s="158">
        <f>2000+2500+1550</f>
        <v>6050</v>
      </c>
    </row>
    <row r="1325" spans="1:7" ht="24">
      <c r="A1325" s="152" t="s">
        <v>325</v>
      </c>
      <c r="B1325" s="210" t="s">
        <v>477</v>
      </c>
      <c r="C1325" s="147" t="s">
        <v>433</v>
      </c>
      <c r="D1325" s="147" t="s">
        <v>436</v>
      </c>
      <c r="E1325" s="147" t="s">
        <v>326</v>
      </c>
      <c r="F1325" s="147"/>
      <c r="G1325" s="155">
        <f>G1326</f>
        <v>35247</v>
      </c>
    </row>
    <row r="1326" spans="1:7" ht="24">
      <c r="A1326" s="152" t="s">
        <v>498</v>
      </c>
      <c r="B1326" s="210" t="s">
        <v>477</v>
      </c>
      <c r="C1326" s="147" t="s">
        <v>433</v>
      </c>
      <c r="D1326" s="147" t="s">
        <v>436</v>
      </c>
      <c r="E1326" s="147" t="s">
        <v>327</v>
      </c>
      <c r="F1326" s="147"/>
      <c r="G1326" s="155">
        <f>G1327</f>
        <v>35247</v>
      </c>
    </row>
    <row r="1327" spans="1:7" ht="15">
      <c r="A1327" s="195" t="s">
        <v>530</v>
      </c>
      <c r="B1327" s="210" t="s">
        <v>477</v>
      </c>
      <c r="C1327" s="147" t="s">
        <v>433</v>
      </c>
      <c r="D1327" s="147" t="s">
        <v>436</v>
      </c>
      <c r="E1327" s="147" t="s">
        <v>327</v>
      </c>
      <c r="F1327" s="147" t="s">
        <v>531</v>
      </c>
      <c r="G1327" s="155">
        <f>G1328</f>
        <v>35247</v>
      </c>
    </row>
    <row r="1328" spans="1:7" ht="24">
      <c r="A1328" s="152" t="s">
        <v>171</v>
      </c>
      <c r="B1328" s="210" t="s">
        <v>477</v>
      </c>
      <c r="C1328" s="147" t="s">
        <v>433</v>
      </c>
      <c r="D1328" s="147" t="s">
        <v>436</v>
      </c>
      <c r="E1328" s="147" t="s">
        <v>327</v>
      </c>
      <c r="F1328" s="147" t="s">
        <v>399</v>
      </c>
      <c r="G1328" s="158">
        <f>35247</f>
        <v>35247</v>
      </c>
    </row>
    <row r="1329" spans="1:7" ht="24">
      <c r="A1329" s="164" t="s">
        <v>1350</v>
      </c>
      <c r="B1329" s="210" t="s">
        <v>477</v>
      </c>
      <c r="C1329" s="147" t="s">
        <v>433</v>
      </c>
      <c r="D1329" s="147" t="s">
        <v>436</v>
      </c>
      <c r="E1329" s="147" t="s">
        <v>41</v>
      </c>
      <c r="F1329" s="147"/>
      <c r="G1329" s="279">
        <f>G1330</f>
        <v>2517</v>
      </c>
    </row>
    <row r="1330" spans="1:7" ht="24">
      <c r="A1330" s="152" t="s">
        <v>126</v>
      </c>
      <c r="B1330" s="210" t="s">
        <v>477</v>
      </c>
      <c r="C1330" s="147" t="s">
        <v>433</v>
      </c>
      <c r="D1330" s="147" t="s">
        <v>436</v>
      </c>
      <c r="E1330" s="147" t="s">
        <v>42</v>
      </c>
      <c r="F1330" s="147"/>
      <c r="G1330" s="279">
        <f>G1331</f>
        <v>2517</v>
      </c>
    </row>
    <row r="1331" spans="1:7" ht="36">
      <c r="A1331" s="152" t="s">
        <v>322</v>
      </c>
      <c r="B1331" s="210" t="s">
        <v>477</v>
      </c>
      <c r="C1331" s="147" t="s">
        <v>433</v>
      </c>
      <c r="D1331" s="147" t="s">
        <v>436</v>
      </c>
      <c r="E1331" s="147" t="s">
        <v>43</v>
      </c>
      <c r="F1331" s="147"/>
      <c r="G1331" s="279">
        <f>G1332+G1335</f>
        <v>2517</v>
      </c>
    </row>
    <row r="1332" spans="1:7" ht="36">
      <c r="A1332" s="152" t="s">
        <v>1702</v>
      </c>
      <c r="B1332" s="210" t="s">
        <v>477</v>
      </c>
      <c r="C1332" s="147" t="s">
        <v>433</v>
      </c>
      <c r="D1332" s="147" t="s">
        <v>436</v>
      </c>
      <c r="E1332" s="147" t="s">
        <v>1703</v>
      </c>
      <c r="F1332" s="147"/>
      <c r="G1332" s="279">
        <f>G1333</f>
        <v>1480.5</v>
      </c>
    </row>
    <row r="1333" spans="1:7" ht="15">
      <c r="A1333" s="153" t="s">
        <v>530</v>
      </c>
      <c r="B1333" s="210" t="s">
        <v>477</v>
      </c>
      <c r="C1333" s="147" t="s">
        <v>433</v>
      </c>
      <c r="D1333" s="147" t="s">
        <v>436</v>
      </c>
      <c r="E1333" s="147" t="s">
        <v>1703</v>
      </c>
      <c r="F1333" s="147" t="s">
        <v>531</v>
      </c>
      <c r="G1333" s="279">
        <f>G1334</f>
        <v>1480.5</v>
      </c>
    </row>
    <row r="1334" spans="1:7" ht="24">
      <c r="A1334" s="157" t="s">
        <v>171</v>
      </c>
      <c r="B1334" s="210" t="s">
        <v>477</v>
      </c>
      <c r="C1334" s="147" t="s">
        <v>433</v>
      </c>
      <c r="D1334" s="147" t="s">
        <v>436</v>
      </c>
      <c r="E1334" s="147" t="s">
        <v>1703</v>
      </c>
      <c r="F1334" s="147" t="s">
        <v>399</v>
      </c>
      <c r="G1334" s="158">
        <f>1036.4+444.1</f>
        <v>1480.5</v>
      </c>
    </row>
    <row r="1335" spans="1:7" ht="36">
      <c r="A1335" s="182" t="s">
        <v>177</v>
      </c>
      <c r="B1335" s="210" t="s">
        <v>477</v>
      </c>
      <c r="C1335" s="147" t="s">
        <v>433</v>
      </c>
      <c r="D1335" s="147" t="s">
        <v>436</v>
      </c>
      <c r="E1335" s="147" t="s">
        <v>44</v>
      </c>
      <c r="F1335" s="147"/>
      <c r="G1335" s="279">
        <f>G1336</f>
        <v>1036.5</v>
      </c>
    </row>
    <row r="1336" spans="1:7" ht="15">
      <c r="A1336" s="153" t="s">
        <v>530</v>
      </c>
      <c r="B1336" s="210" t="s">
        <v>477</v>
      </c>
      <c r="C1336" s="147" t="s">
        <v>433</v>
      </c>
      <c r="D1336" s="147" t="s">
        <v>436</v>
      </c>
      <c r="E1336" s="147" t="s">
        <v>44</v>
      </c>
      <c r="F1336" s="147" t="s">
        <v>531</v>
      </c>
      <c r="G1336" s="279">
        <f>G1337</f>
        <v>1036.5</v>
      </c>
    </row>
    <row r="1337" spans="1:7" ht="24">
      <c r="A1337" s="157" t="s">
        <v>171</v>
      </c>
      <c r="B1337" s="210" t="s">
        <v>477</v>
      </c>
      <c r="C1337" s="147" t="s">
        <v>433</v>
      </c>
      <c r="D1337" s="147" t="s">
        <v>436</v>
      </c>
      <c r="E1337" s="147" t="s">
        <v>44</v>
      </c>
      <c r="F1337" s="147" t="s">
        <v>399</v>
      </c>
      <c r="G1337" s="158">
        <f>998.6+37.9</f>
        <v>1036.5</v>
      </c>
    </row>
    <row r="1338" spans="1:7" ht="24">
      <c r="A1338" s="164" t="s">
        <v>1329</v>
      </c>
      <c r="B1338" s="210" t="s">
        <v>477</v>
      </c>
      <c r="C1338" s="147" t="s">
        <v>433</v>
      </c>
      <c r="D1338" s="147" t="s">
        <v>436</v>
      </c>
      <c r="E1338" s="147" t="s">
        <v>737</v>
      </c>
      <c r="F1338" s="147"/>
      <c r="G1338" s="196">
        <f>G1339+G1353+G1362+G1370</f>
        <v>65887</v>
      </c>
    </row>
    <row r="1339" spans="1:7" ht="21.75" customHeight="1">
      <c r="A1339" s="152" t="s">
        <v>1330</v>
      </c>
      <c r="B1339" s="210" t="s">
        <v>477</v>
      </c>
      <c r="C1339" s="147" t="s">
        <v>433</v>
      </c>
      <c r="D1339" s="147" t="s">
        <v>436</v>
      </c>
      <c r="E1339" s="147" t="s">
        <v>328</v>
      </c>
      <c r="F1339" s="147"/>
      <c r="G1339" s="151">
        <f>G1340+G1347+G1344+G1350</f>
        <v>2746.2</v>
      </c>
    </row>
    <row r="1340" spans="1:7" ht="36">
      <c r="A1340" s="152" t="s">
        <v>1505</v>
      </c>
      <c r="B1340" s="210" t="s">
        <v>477</v>
      </c>
      <c r="C1340" s="147" t="s">
        <v>433</v>
      </c>
      <c r="D1340" s="147" t="s">
        <v>436</v>
      </c>
      <c r="E1340" s="147" t="s">
        <v>329</v>
      </c>
      <c r="F1340" s="147"/>
      <c r="G1340" s="151">
        <f>G1341</f>
        <v>1159</v>
      </c>
    </row>
    <row r="1341" spans="1:7" ht="15">
      <c r="A1341" s="152" t="s">
        <v>505</v>
      </c>
      <c r="B1341" s="210" t="s">
        <v>477</v>
      </c>
      <c r="C1341" s="147" t="s">
        <v>433</v>
      </c>
      <c r="D1341" s="147" t="s">
        <v>436</v>
      </c>
      <c r="E1341" s="147" t="s">
        <v>1105</v>
      </c>
      <c r="F1341" s="147"/>
      <c r="G1341" s="311">
        <f>G1342</f>
        <v>1159</v>
      </c>
    </row>
    <row r="1342" spans="1:7" ht="33" customHeight="1">
      <c r="A1342" s="153" t="s">
        <v>530</v>
      </c>
      <c r="B1342" s="210" t="s">
        <v>477</v>
      </c>
      <c r="C1342" s="147" t="s">
        <v>433</v>
      </c>
      <c r="D1342" s="147" t="s">
        <v>436</v>
      </c>
      <c r="E1342" s="147" t="s">
        <v>1105</v>
      </c>
      <c r="F1342" s="147" t="s">
        <v>531</v>
      </c>
      <c r="G1342" s="151">
        <f>G1343</f>
        <v>1159</v>
      </c>
    </row>
    <row r="1343" spans="1:7" ht="24">
      <c r="A1343" s="157" t="s">
        <v>171</v>
      </c>
      <c r="B1343" s="210" t="s">
        <v>477</v>
      </c>
      <c r="C1343" s="147" t="s">
        <v>433</v>
      </c>
      <c r="D1343" s="147" t="s">
        <v>436</v>
      </c>
      <c r="E1343" s="147" t="s">
        <v>1105</v>
      </c>
      <c r="F1343" s="147" t="s">
        <v>399</v>
      </c>
      <c r="G1343" s="154">
        <f>3911-2752</f>
        <v>1159</v>
      </c>
    </row>
    <row r="1344" spans="1:7" ht="48">
      <c r="A1344" s="157" t="s">
        <v>1238</v>
      </c>
      <c r="B1344" s="210" t="s">
        <v>477</v>
      </c>
      <c r="C1344" s="147" t="s">
        <v>433</v>
      </c>
      <c r="D1344" s="147" t="s">
        <v>436</v>
      </c>
      <c r="E1344" s="147" t="s">
        <v>1239</v>
      </c>
      <c r="F1344" s="287"/>
      <c r="G1344" s="311">
        <f>G1345</f>
        <v>0</v>
      </c>
    </row>
    <row r="1345" spans="1:7" ht="33" customHeight="1">
      <c r="A1345" s="153" t="s">
        <v>530</v>
      </c>
      <c r="B1345" s="210" t="s">
        <v>477</v>
      </c>
      <c r="C1345" s="147" t="s">
        <v>433</v>
      </c>
      <c r="D1345" s="147" t="s">
        <v>436</v>
      </c>
      <c r="E1345" s="147" t="s">
        <v>1239</v>
      </c>
      <c r="F1345" s="147" t="s">
        <v>531</v>
      </c>
      <c r="G1345" s="311">
        <f>G1346</f>
        <v>0</v>
      </c>
    </row>
    <row r="1346" spans="1:7" ht="24">
      <c r="A1346" s="157" t="s">
        <v>171</v>
      </c>
      <c r="B1346" s="210" t="s">
        <v>477</v>
      </c>
      <c r="C1346" s="147" t="s">
        <v>433</v>
      </c>
      <c r="D1346" s="147" t="s">
        <v>436</v>
      </c>
      <c r="E1346" s="147" t="s">
        <v>1239</v>
      </c>
      <c r="F1346" s="147" t="s">
        <v>399</v>
      </c>
      <c r="G1346" s="154">
        <v>0</v>
      </c>
    </row>
    <row r="1347" spans="1:7" ht="15">
      <c r="A1347" s="323" t="s">
        <v>1754</v>
      </c>
      <c r="B1347" s="210" t="s">
        <v>477</v>
      </c>
      <c r="C1347" s="147" t="s">
        <v>433</v>
      </c>
      <c r="D1347" s="147" t="s">
        <v>436</v>
      </c>
      <c r="E1347" s="147" t="s">
        <v>1755</v>
      </c>
      <c r="F1347" s="147"/>
      <c r="G1347" s="311">
        <f>G1348</f>
        <v>0.09</v>
      </c>
    </row>
    <row r="1348" spans="1:7" ht="15">
      <c r="A1348" s="153" t="s">
        <v>530</v>
      </c>
      <c r="B1348" s="210" t="s">
        <v>477</v>
      </c>
      <c r="C1348" s="147" t="s">
        <v>433</v>
      </c>
      <c r="D1348" s="147" t="s">
        <v>436</v>
      </c>
      <c r="E1348" s="147" t="s">
        <v>1755</v>
      </c>
      <c r="F1348" s="147" t="s">
        <v>531</v>
      </c>
      <c r="G1348" s="311">
        <f>G1349</f>
        <v>0.09</v>
      </c>
    </row>
    <row r="1349" spans="1:7" ht="24">
      <c r="A1349" s="157" t="s">
        <v>171</v>
      </c>
      <c r="B1349" s="210" t="s">
        <v>477</v>
      </c>
      <c r="C1349" s="147" t="s">
        <v>433</v>
      </c>
      <c r="D1349" s="147" t="s">
        <v>436</v>
      </c>
      <c r="E1349" s="147" t="s">
        <v>1755</v>
      </c>
      <c r="F1349" s="147" t="s">
        <v>399</v>
      </c>
      <c r="G1349" s="154">
        <f>0.09</f>
        <v>0.09</v>
      </c>
    </row>
    <row r="1350" spans="1:7" ht="24">
      <c r="A1350" s="157" t="s">
        <v>1621</v>
      </c>
      <c r="B1350" s="210" t="s">
        <v>477</v>
      </c>
      <c r="C1350" s="147" t="s">
        <v>433</v>
      </c>
      <c r="D1350" s="147" t="s">
        <v>436</v>
      </c>
      <c r="E1350" s="147" t="s">
        <v>1240</v>
      </c>
      <c r="F1350" s="147"/>
      <c r="G1350" s="311">
        <f>G1351</f>
        <v>1587.11</v>
      </c>
    </row>
    <row r="1351" spans="1:7" ht="15">
      <c r="A1351" s="153" t="s">
        <v>530</v>
      </c>
      <c r="B1351" s="210" t="s">
        <v>477</v>
      </c>
      <c r="C1351" s="147" t="s">
        <v>433</v>
      </c>
      <c r="D1351" s="147" t="s">
        <v>436</v>
      </c>
      <c r="E1351" s="147" t="s">
        <v>1240</v>
      </c>
      <c r="F1351" s="147" t="s">
        <v>531</v>
      </c>
      <c r="G1351" s="311">
        <f>G1352</f>
        <v>1587.11</v>
      </c>
    </row>
    <row r="1352" spans="1:7" ht="24">
      <c r="A1352" s="157" t="s">
        <v>171</v>
      </c>
      <c r="B1352" s="210" t="s">
        <v>477</v>
      </c>
      <c r="C1352" s="147" t="s">
        <v>433</v>
      </c>
      <c r="D1352" s="147" t="s">
        <v>436</v>
      </c>
      <c r="E1352" s="147" t="s">
        <v>1240</v>
      </c>
      <c r="F1352" s="147" t="s">
        <v>399</v>
      </c>
      <c r="G1352" s="154">
        <f>428.4+1158.8-0.09</f>
        <v>1587.11</v>
      </c>
    </row>
    <row r="1353" spans="1:10" ht="24">
      <c r="A1353" s="157" t="s">
        <v>1497</v>
      </c>
      <c r="B1353" s="210" t="s">
        <v>477</v>
      </c>
      <c r="C1353" s="147" t="s">
        <v>433</v>
      </c>
      <c r="D1353" s="147" t="s">
        <v>436</v>
      </c>
      <c r="E1353" s="147" t="s">
        <v>330</v>
      </c>
      <c r="F1353" s="147"/>
      <c r="G1353" s="155">
        <f>G1355+G1358</f>
        <v>980.7</v>
      </c>
      <c r="J1353" s="278"/>
    </row>
    <row r="1354" spans="1:7" ht="60">
      <c r="A1354" s="157" t="s">
        <v>1498</v>
      </c>
      <c r="B1354" s="210" t="s">
        <v>477</v>
      </c>
      <c r="C1354" s="147" t="s">
        <v>433</v>
      </c>
      <c r="D1354" s="147" t="s">
        <v>436</v>
      </c>
      <c r="E1354" s="147" t="s">
        <v>331</v>
      </c>
      <c r="F1354" s="147"/>
      <c r="G1354" s="155">
        <f>G1355</f>
        <v>0</v>
      </c>
    </row>
    <row r="1355" spans="1:7" ht="48">
      <c r="A1355" s="152" t="s">
        <v>836</v>
      </c>
      <c r="B1355" s="210" t="s">
        <v>477</v>
      </c>
      <c r="C1355" s="147" t="s">
        <v>433</v>
      </c>
      <c r="D1355" s="147" t="s">
        <v>436</v>
      </c>
      <c r="E1355" s="147" t="s">
        <v>1499</v>
      </c>
      <c r="F1355" s="147"/>
      <c r="G1355" s="155">
        <f>G1356</f>
        <v>0</v>
      </c>
    </row>
    <row r="1356" spans="1:7" ht="15">
      <c r="A1356" s="197" t="s">
        <v>530</v>
      </c>
      <c r="B1356" s="210" t="s">
        <v>477</v>
      </c>
      <c r="C1356" s="147" t="s">
        <v>433</v>
      </c>
      <c r="D1356" s="147" t="s">
        <v>436</v>
      </c>
      <c r="E1356" s="147" t="s">
        <v>1499</v>
      </c>
      <c r="F1356" s="147" t="s">
        <v>531</v>
      </c>
      <c r="G1356" s="155">
        <f>G1357</f>
        <v>0</v>
      </c>
    </row>
    <row r="1357" spans="1:7" ht="24">
      <c r="A1357" s="152" t="s">
        <v>171</v>
      </c>
      <c r="B1357" s="210" t="s">
        <v>477</v>
      </c>
      <c r="C1357" s="147" t="s">
        <v>433</v>
      </c>
      <c r="D1357" s="147" t="s">
        <v>436</v>
      </c>
      <c r="E1357" s="147" t="s">
        <v>1499</v>
      </c>
      <c r="F1357" s="147" t="s">
        <v>399</v>
      </c>
      <c r="G1357" s="158">
        <f>2250.5-2250.5</f>
        <v>0</v>
      </c>
    </row>
    <row r="1358" spans="1:7" ht="60">
      <c r="A1358" s="152" t="s">
        <v>1756</v>
      </c>
      <c r="B1358" s="210" t="s">
        <v>477</v>
      </c>
      <c r="C1358" s="147" t="s">
        <v>433</v>
      </c>
      <c r="D1358" s="147" t="s">
        <v>436</v>
      </c>
      <c r="E1358" s="147" t="s">
        <v>1757</v>
      </c>
      <c r="F1358" s="147"/>
      <c r="G1358" s="279">
        <f>G1359</f>
        <v>980.7</v>
      </c>
    </row>
    <row r="1359" spans="1:7" ht="48">
      <c r="A1359" s="152" t="s">
        <v>1758</v>
      </c>
      <c r="B1359" s="210" t="s">
        <v>477</v>
      </c>
      <c r="C1359" s="147" t="s">
        <v>433</v>
      </c>
      <c r="D1359" s="147" t="s">
        <v>436</v>
      </c>
      <c r="E1359" s="147" t="s">
        <v>1759</v>
      </c>
      <c r="F1359" s="147"/>
      <c r="G1359" s="279">
        <f>G1360</f>
        <v>980.7</v>
      </c>
    </row>
    <row r="1360" spans="1:7" ht="15">
      <c r="A1360" s="284" t="s">
        <v>530</v>
      </c>
      <c r="B1360" s="210" t="s">
        <v>477</v>
      </c>
      <c r="C1360" s="147" t="s">
        <v>433</v>
      </c>
      <c r="D1360" s="147" t="s">
        <v>436</v>
      </c>
      <c r="E1360" s="147" t="s">
        <v>1759</v>
      </c>
      <c r="F1360" s="147" t="s">
        <v>531</v>
      </c>
      <c r="G1360" s="279">
        <f>G1361</f>
        <v>980.7</v>
      </c>
    </row>
    <row r="1361" spans="1:7" ht="24">
      <c r="A1361" s="152" t="s">
        <v>171</v>
      </c>
      <c r="B1361" s="210" t="s">
        <v>477</v>
      </c>
      <c r="C1361" s="147" t="s">
        <v>433</v>
      </c>
      <c r="D1361" s="147" t="s">
        <v>436</v>
      </c>
      <c r="E1361" s="147" t="s">
        <v>1759</v>
      </c>
      <c r="F1361" s="147" t="s">
        <v>399</v>
      </c>
      <c r="G1361" s="158">
        <v>980.7</v>
      </c>
    </row>
    <row r="1362" spans="1:7" ht="24">
      <c r="A1362" s="115" t="s">
        <v>1331</v>
      </c>
      <c r="B1362" s="210" t="s">
        <v>477</v>
      </c>
      <c r="C1362" s="147" t="s">
        <v>433</v>
      </c>
      <c r="D1362" s="147" t="s">
        <v>436</v>
      </c>
      <c r="E1362" s="147" t="s">
        <v>1197</v>
      </c>
      <c r="F1362" s="147"/>
      <c r="G1362" s="279">
        <f>G1363</f>
        <v>12160.1</v>
      </c>
    </row>
    <row r="1363" spans="1:7" ht="36">
      <c r="A1363" s="152" t="s">
        <v>1506</v>
      </c>
      <c r="B1363" s="210" t="s">
        <v>477</v>
      </c>
      <c r="C1363" s="147" t="s">
        <v>433</v>
      </c>
      <c r="D1363" s="147" t="s">
        <v>436</v>
      </c>
      <c r="E1363" s="147" t="s">
        <v>1503</v>
      </c>
      <c r="F1363" s="147"/>
      <c r="G1363" s="279">
        <f>G1365+G1367</f>
        <v>12160.1</v>
      </c>
    </row>
    <row r="1364" spans="1:7" ht="24">
      <c r="A1364" s="152" t="s">
        <v>1772</v>
      </c>
      <c r="B1364" s="210" t="s">
        <v>477</v>
      </c>
      <c r="C1364" s="147" t="s">
        <v>433</v>
      </c>
      <c r="D1364" s="147" t="s">
        <v>436</v>
      </c>
      <c r="E1364" s="147" t="s">
        <v>1504</v>
      </c>
      <c r="F1364" s="147"/>
      <c r="G1364" s="279">
        <f>G1365</f>
        <v>158.1</v>
      </c>
    </row>
    <row r="1365" spans="1:7" ht="15">
      <c r="A1365" s="284" t="s">
        <v>530</v>
      </c>
      <c r="B1365" s="210" t="s">
        <v>477</v>
      </c>
      <c r="C1365" s="147" t="s">
        <v>433</v>
      </c>
      <c r="D1365" s="147" t="s">
        <v>436</v>
      </c>
      <c r="E1365" s="147" t="s">
        <v>1504</v>
      </c>
      <c r="F1365" s="147" t="s">
        <v>531</v>
      </c>
      <c r="G1365" s="279">
        <f>G1366</f>
        <v>158.1</v>
      </c>
    </row>
    <row r="1366" spans="1:7" ht="24">
      <c r="A1366" s="152" t="s">
        <v>171</v>
      </c>
      <c r="B1366" s="210" t="s">
        <v>477</v>
      </c>
      <c r="C1366" s="147" t="s">
        <v>433</v>
      </c>
      <c r="D1366" s="147" t="s">
        <v>436</v>
      </c>
      <c r="E1366" s="147" t="s">
        <v>1504</v>
      </c>
      <c r="F1366" s="147" t="s">
        <v>399</v>
      </c>
      <c r="G1366" s="158">
        <v>158.1</v>
      </c>
    </row>
    <row r="1367" spans="1:7" ht="15">
      <c r="A1367" s="326" t="s">
        <v>506</v>
      </c>
      <c r="B1367" s="210" t="s">
        <v>477</v>
      </c>
      <c r="C1367" s="147" t="s">
        <v>433</v>
      </c>
      <c r="D1367" s="147" t="s">
        <v>436</v>
      </c>
      <c r="E1367" s="147" t="s">
        <v>1771</v>
      </c>
      <c r="F1367" s="147"/>
      <c r="G1367" s="325">
        <f>G1368</f>
        <v>12002</v>
      </c>
    </row>
    <row r="1368" spans="1:7" ht="15">
      <c r="A1368" s="284" t="s">
        <v>530</v>
      </c>
      <c r="B1368" s="210" t="s">
        <v>477</v>
      </c>
      <c r="C1368" s="147" t="s">
        <v>433</v>
      </c>
      <c r="D1368" s="147" t="s">
        <v>436</v>
      </c>
      <c r="E1368" s="147" t="s">
        <v>1771</v>
      </c>
      <c r="F1368" s="147" t="s">
        <v>531</v>
      </c>
      <c r="G1368" s="325">
        <f>G1369</f>
        <v>12002</v>
      </c>
    </row>
    <row r="1369" spans="1:7" ht="24">
      <c r="A1369" s="152" t="s">
        <v>171</v>
      </c>
      <c r="B1369" s="210" t="s">
        <v>477</v>
      </c>
      <c r="C1369" s="147" t="s">
        <v>433</v>
      </c>
      <c r="D1369" s="147" t="s">
        <v>436</v>
      </c>
      <c r="E1369" s="147" t="s">
        <v>1771</v>
      </c>
      <c r="F1369" s="147" t="s">
        <v>399</v>
      </c>
      <c r="G1369" s="158">
        <v>12002</v>
      </c>
    </row>
    <row r="1370" spans="1:7" ht="48">
      <c r="A1370" s="152" t="s">
        <v>1574</v>
      </c>
      <c r="B1370" s="210" t="s">
        <v>477</v>
      </c>
      <c r="C1370" s="147" t="s">
        <v>433</v>
      </c>
      <c r="D1370" s="147" t="s">
        <v>436</v>
      </c>
      <c r="E1370" s="147" t="s">
        <v>1199</v>
      </c>
      <c r="F1370" s="147"/>
      <c r="G1370" s="279">
        <f>G1371</f>
        <v>50000</v>
      </c>
    </row>
    <row r="1371" spans="1:7" ht="36">
      <c r="A1371" s="152" t="s">
        <v>1575</v>
      </c>
      <c r="B1371" s="210" t="s">
        <v>477</v>
      </c>
      <c r="C1371" s="147" t="s">
        <v>433</v>
      </c>
      <c r="D1371" s="147" t="s">
        <v>436</v>
      </c>
      <c r="E1371" s="147" t="s">
        <v>1576</v>
      </c>
      <c r="F1371" s="147"/>
      <c r="G1371" s="279">
        <f>G1372</f>
        <v>50000</v>
      </c>
    </row>
    <row r="1372" spans="1:7" ht="15">
      <c r="A1372" s="152" t="s">
        <v>1577</v>
      </c>
      <c r="B1372" s="210" t="s">
        <v>477</v>
      </c>
      <c r="C1372" s="147" t="s">
        <v>433</v>
      </c>
      <c r="D1372" s="147" t="s">
        <v>436</v>
      </c>
      <c r="E1372" s="147" t="s">
        <v>1578</v>
      </c>
      <c r="F1372" s="147"/>
      <c r="G1372" s="279">
        <f>G1373</f>
        <v>50000</v>
      </c>
    </row>
    <row r="1373" spans="1:7" ht="15">
      <c r="A1373" s="284" t="s">
        <v>530</v>
      </c>
      <c r="B1373" s="210" t="s">
        <v>477</v>
      </c>
      <c r="C1373" s="147" t="s">
        <v>433</v>
      </c>
      <c r="D1373" s="147" t="s">
        <v>436</v>
      </c>
      <c r="E1373" s="147" t="s">
        <v>1578</v>
      </c>
      <c r="F1373" s="147" t="s">
        <v>531</v>
      </c>
      <c r="G1373" s="279">
        <f>G1374</f>
        <v>50000</v>
      </c>
    </row>
    <row r="1374" spans="1:7" ht="24">
      <c r="A1374" s="152" t="s">
        <v>171</v>
      </c>
      <c r="B1374" s="210" t="s">
        <v>477</v>
      </c>
      <c r="C1374" s="147" t="s">
        <v>433</v>
      </c>
      <c r="D1374" s="147" t="s">
        <v>436</v>
      </c>
      <c r="E1374" s="147" t="s">
        <v>1578</v>
      </c>
      <c r="F1374" s="147" t="s">
        <v>399</v>
      </c>
      <c r="G1374" s="158">
        <v>50000</v>
      </c>
    </row>
    <row r="1375" spans="1:7" ht="36">
      <c r="A1375" s="164" t="s">
        <v>1299</v>
      </c>
      <c r="B1375" s="210" t="s">
        <v>477</v>
      </c>
      <c r="C1375" s="147" t="s">
        <v>433</v>
      </c>
      <c r="D1375" s="147" t="s">
        <v>436</v>
      </c>
      <c r="E1375" s="147" t="s">
        <v>212</v>
      </c>
      <c r="F1375" s="147"/>
      <c r="G1375" s="279">
        <f>G1376</f>
        <v>4268.4</v>
      </c>
    </row>
    <row r="1376" spans="1:7" ht="36">
      <c r="A1376" s="152" t="s">
        <v>1300</v>
      </c>
      <c r="B1376" s="210" t="s">
        <v>477</v>
      </c>
      <c r="C1376" s="147" t="s">
        <v>433</v>
      </c>
      <c r="D1376" s="147" t="s">
        <v>436</v>
      </c>
      <c r="E1376" s="147" t="s">
        <v>213</v>
      </c>
      <c r="F1376" s="147"/>
      <c r="G1376" s="279">
        <f>G1377</f>
        <v>4268.4</v>
      </c>
    </row>
    <row r="1377" spans="1:7" ht="36">
      <c r="A1377" s="152" t="s">
        <v>211</v>
      </c>
      <c r="B1377" s="210" t="s">
        <v>477</v>
      </c>
      <c r="C1377" s="147" t="s">
        <v>433</v>
      </c>
      <c r="D1377" s="147" t="s">
        <v>436</v>
      </c>
      <c r="E1377" s="147" t="s">
        <v>214</v>
      </c>
      <c r="F1377" s="147"/>
      <c r="G1377" s="279">
        <f>G1378</f>
        <v>4268.4</v>
      </c>
    </row>
    <row r="1378" spans="1:7" ht="36">
      <c r="A1378" s="152" t="s">
        <v>215</v>
      </c>
      <c r="B1378" s="210" t="s">
        <v>477</v>
      </c>
      <c r="C1378" s="147" t="s">
        <v>433</v>
      </c>
      <c r="D1378" s="147" t="s">
        <v>436</v>
      </c>
      <c r="E1378" s="147" t="s">
        <v>216</v>
      </c>
      <c r="F1378" s="147"/>
      <c r="G1378" s="279">
        <f>G1379</f>
        <v>4268.4</v>
      </c>
    </row>
    <row r="1379" spans="1:7" ht="15">
      <c r="A1379" s="153" t="s">
        <v>985</v>
      </c>
      <c r="B1379" s="210" t="s">
        <v>477</v>
      </c>
      <c r="C1379" s="147" t="s">
        <v>433</v>
      </c>
      <c r="D1379" s="147" t="s">
        <v>436</v>
      </c>
      <c r="E1379" s="147" t="s">
        <v>216</v>
      </c>
      <c r="F1379" s="147" t="s">
        <v>986</v>
      </c>
      <c r="G1379" s="155">
        <f>G1380</f>
        <v>4268.4</v>
      </c>
    </row>
    <row r="1380" spans="1:7" ht="24">
      <c r="A1380" s="152" t="s">
        <v>555</v>
      </c>
      <c r="B1380" s="210" t="s">
        <v>477</v>
      </c>
      <c r="C1380" s="147" t="s">
        <v>433</v>
      </c>
      <c r="D1380" s="147" t="s">
        <v>436</v>
      </c>
      <c r="E1380" s="147" t="s">
        <v>216</v>
      </c>
      <c r="F1380" s="147" t="s">
        <v>556</v>
      </c>
      <c r="G1380" s="158">
        <f>7482.9-3919.9+272.2+433.2</f>
        <v>4268.4</v>
      </c>
    </row>
    <row r="1381" spans="1:7" ht="15">
      <c r="A1381" s="156" t="s">
        <v>1085</v>
      </c>
      <c r="B1381" s="210" t="s">
        <v>477</v>
      </c>
      <c r="C1381" s="147" t="s">
        <v>433</v>
      </c>
      <c r="D1381" s="147" t="s">
        <v>936</v>
      </c>
      <c r="E1381" s="163"/>
      <c r="F1381" s="147"/>
      <c r="G1381" s="155">
        <f>G1382</f>
        <v>56999</v>
      </c>
    </row>
    <row r="1382" spans="1:7" ht="24">
      <c r="A1382" s="164" t="s">
        <v>1329</v>
      </c>
      <c r="B1382" s="210" t="s">
        <v>477</v>
      </c>
      <c r="C1382" s="147" t="s">
        <v>433</v>
      </c>
      <c r="D1382" s="147" t="s">
        <v>936</v>
      </c>
      <c r="E1382" s="147" t="s">
        <v>737</v>
      </c>
      <c r="F1382" s="147"/>
      <c r="G1382" s="155">
        <f>G1383</f>
        <v>56999</v>
      </c>
    </row>
    <row r="1383" spans="1:7" ht="24">
      <c r="A1383" s="284" t="s">
        <v>1351</v>
      </c>
      <c r="B1383" s="210" t="s">
        <v>477</v>
      </c>
      <c r="C1383" s="147" t="s">
        <v>433</v>
      </c>
      <c r="D1383" s="147" t="s">
        <v>936</v>
      </c>
      <c r="E1383" s="147" t="s">
        <v>1198</v>
      </c>
      <c r="F1383" s="147"/>
      <c r="G1383" s="155">
        <f>G1384</f>
        <v>56999</v>
      </c>
    </row>
    <row r="1384" spans="1:7" ht="36">
      <c r="A1384" s="152" t="s">
        <v>1500</v>
      </c>
      <c r="B1384" s="210" t="s">
        <v>477</v>
      </c>
      <c r="C1384" s="147" t="s">
        <v>433</v>
      </c>
      <c r="D1384" s="147" t="s">
        <v>936</v>
      </c>
      <c r="E1384" s="147" t="s">
        <v>1501</v>
      </c>
      <c r="F1384" s="147"/>
      <c r="G1384" s="155">
        <f>G1385+G1388</f>
        <v>56999</v>
      </c>
    </row>
    <row r="1385" spans="1:7" ht="36">
      <c r="A1385" s="152" t="s">
        <v>61</v>
      </c>
      <c r="B1385" s="210" t="s">
        <v>477</v>
      </c>
      <c r="C1385" s="147" t="s">
        <v>433</v>
      </c>
      <c r="D1385" s="147" t="s">
        <v>936</v>
      </c>
      <c r="E1385" s="147" t="s">
        <v>1502</v>
      </c>
      <c r="F1385" s="147"/>
      <c r="G1385" s="155">
        <f>G1386</f>
        <v>56999</v>
      </c>
    </row>
    <row r="1386" spans="1:7" ht="15">
      <c r="A1386" s="197" t="s">
        <v>530</v>
      </c>
      <c r="B1386" s="210" t="s">
        <v>477</v>
      </c>
      <c r="C1386" s="147" t="s">
        <v>433</v>
      </c>
      <c r="D1386" s="147" t="s">
        <v>936</v>
      </c>
      <c r="E1386" s="147" t="s">
        <v>1502</v>
      </c>
      <c r="F1386" s="147" t="s">
        <v>531</v>
      </c>
      <c r="G1386" s="155">
        <f>G1387</f>
        <v>56999</v>
      </c>
    </row>
    <row r="1387" spans="1:7" ht="24">
      <c r="A1387" s="152" t="s">
        <v>171</v>
      </c>
      <c r="B1387" s="210" t="s">
        <v>477</v>
      </c>
      <c r="C1387" s="147" t="s">
        <v>433</v>
      </c>
      <c r="D1387" s="147" t="s">
        <v>936</v>
      </c>
      <c r="E1387" s="147" t="s">
        <v>1502</v>
      </c>
      <c r="F1387" s="147" t="s">
        <v>399</v>
      </c>
      <c r="G1387" s="158">
        <f>56999</f>
        <v>56999</v>
      </c>
    </row>
    <row r="1388" spans="1:7" ht="48">
      <c r="A1388" s="299" t="s">
        <v>1719</v>
      </c>
      <c r="B1388" s="210" t="s">
        <v>477</v>
      </c>
      <c r="C1388" s="147" t="s">
        <v>433</v>
      </c>
      <c r="D1388" s="147" t="s">
        <v>936</v>
      </c>
      <c r="E1388" s="147" t="s">
        <v>1720</v>
      </c>
      <c r="F1388" s="147"/>
      <c r="G1388" s="279">
        <f>G1389</f>
        <v>0</v>
      </c>
    </row>
    <row r="1389" spans="1:7" ht="32.25" customHeight="1">
      <c r="A1389" s="284" t="s">
        <v>530</v>
      </c>
      <c r="B1389" s="210" t="s">
        <v>477</v>
      </c>
      <c r="C1389" s="147" t="s">
        <v>433</v>
      </c>
      <c r="D1389" s="147" t="s">
        <v>936</v>
      </c>
      <c r="E1389" s="147" t="s">
        <v>1720</v>
      </c>
      <c r="F1389" s="147" t="s">
        <v>531</v>
      </c>
      <c r="G1389" s="279">
        <f>G1390</f>
        <v>0</v>
      </c>
    </row>
    <row r="1390" spans="1:7" ht="24">
      <c r="A1390" s="152" t="s">
        <v>171</v>
      </c>
      <c r="B1390" s="210" t="s">
        <v>477</v>
      </c>
      <c r="C1390" s="147" t="s">
        <v>433</v>
      </c>
      <c r="D1390" s="147" t="s">
        <v>936</v>
      </c>
      <c r="E1390" s="147" t="s">
        <v>1720</v>
      </c>
      <c r="F1390" s="147" t="s">
        <v>399</v>
      </c>
      <c r="G1390" s="158">
        <f>56999-56999</f>
        <v>0</v>
      </c>
    </row>
    <row r="1391" spans="1:7" ht="15">
      <c r="A1391" s="162" t="s">
        <v>278</v>
      </c>
      <c r="B1391" s="210" t="s">
        <v>477</v>
      </c>
      <c r="C1391" s="150" t="s">
        <v>438</v>
      </c>
      <c r="D1391" s="147"/>
      <c r="E1391" s="147"/>
      <c r="F1391" s="147"/>
      <c r="G1391" s="167">
        <f>G1392+G1403</f>
        <v>28362.5</v>
      </c>
    </row>
    <row r="1392" spans="1:7" ht="15">
      <c r="A1392" s="199" t="s">
        <v>787</v>
      </c>
      <c r="B1392" s="210" t="s">
        <v>477</v>
      </c>
      <c r="C1392" s="147" t="s">
        <v>438</v>
      </c>
      <c r="D1392" s="147" t="s">
        <v>1145</v>
      </c>
      <c r="E1392" s="147"/>
      <c r="F1392" s="147"/>
      <c r="G1392" s="155">
        <f>G1393</f>
        <v>11313</v>
      </c>
    </row>
    <row r="1393" spans="1:7" ht="36">
      <c r="A1393" s="160" t="s">
        <v>1537</v>
      </c>
      <c r="B1393" s="210" t="s">
        <v>477</v>
      </c>
      <c r="C1393" s="147" t="s">
        <v>438</v>
      </c>
      <c r="D1393" s="147" t="s">
        <v>1145</v>
      </c>
      <c r="E1393" s="147" t="s">
        <v>1010</v>
      </c>
      <c r="F1393" s="147"/>
      <c r="G1393" s="155">
        <f>G1394+G1398</f>
        <v>11313</v>
      </c>
    </row>
    <row r="1394" spans="1:7" ht="48">
      <c r="A1394" s="152" t="s">
        <v>1579</v>
      </c>
      <c r="B1394" s="210" t="s">
        <v>477</v>
      </c>
      <c r="C1394" s="147" t="s">
        <v>438</v>
      </c>
      <c r="D1394" s="147" t="s">
        <v>1145</v>
      </c>
      <c r="E1394" s="147" t="s">
        <v>1580</v>
      </c>
      <c r="F1394" s="147"/>
      <c r="G1394" s="155">
        <f>G1395</f>
        <v>11313</v>
      </c>
    </row>
    <row r="1395" spans="1:7" ht="15">
      <c r="A1395" s="157" t="s">
        <v>1150</v>
      </c>
      <c r="B1395" s="210" t="s">
        <v>477</v>
      </c>
      <c r="C1395" s="147" t="s">
        <v>438</v>
      </c>
      <c r="D1395" s="147" t="s">
        <v>1145</v>
      </c>
      <c r="E1395" s="147" t="s">
        <v>1581</v>
      </c>
      <c r="F1395" s="147"/>
      <c r="G1395" s="155">
        <f>G1396</f>
        <v>11313</v>
      </c>
    </row>
    <row r="1396" spans="1:7" ht="24">
      <c r="A1396" s="152" t="s">
        <v>490</v>
      </c>
      <c r="B1396" s="210" t="s">
        <v>477</v>
      </c>
      <c r="C1396" s="147" t="s">
        <v>438</v>
      </c>
      <c r="D1396" s="147" t="s">
        <v>1145</v>
      </c>
      <c r="E1396" s="147" t="s">
        <v>1581</v>
      </c>
      <c r="F1396" s="147" t="s">
        <v>489</v>
      </c>
      <c r="G1396" s="155">
        <f>G1397</f>
        <v>11313</v>
      </c>
    </row>
    <row r="1397" spans="1:7" ht="15">
      <c r="A1397" s="157" t="s">
        <v>371</v>
      </c>
      <c r="B1397" s="210" t="s">
        <v>477</v>
      </c>
      <c r="C1397" s="147" t="s">
        <v>438</v>
      </c>
      <c r="D1397" s="147" t="s">
        <v>1145</v>
      </c>
      <c r="E1397" s="147" t="s">
        <v>1581</v>
      </c>
      <c r="F1397" s="147" t="s">
        <v>574</v>
      </c>
      <c r="G1397" s="158">
        <f>11500-187</f>
        <v>11313</v>
      </c>
    </row>
    <row r="1398" spans="1:7" ht="36">
      <c r="A1398" s="152" t="s">
        <v>1335</v>
      </c>
      <c r="B1398" s="210" t="s">
        <v>477</v>
      </c>
      <c r="C1398" s="147" t="s">
        <v>438</v>
      </c>
      <c r="D1398" s="147" t="s">
        <v>1145</v>
      </c>
      <c r="E1398" s="147" t="s">
        <v>675</v>
      </c>
      <c r="F1398" s="147"/>
      <c r="G1398" s="155">
        <f>G1400</f>
        <v>0</v>
      </c>
    </row>
    <row r="1399" spans="1:7" ht="24">
      <c r="A1399" s="254" t="s">
        <v>674</v>
      </c>
      <c r="B1399" s="210" t="s">
        <v>477</v>
      </c>
      <c r="C1399" s="147" t="s">
        <v>438</v>
      </c>
      <c r="D1399" s="147" t="s">
        <v>1145</v>
      </c>
      <c r="E1399" s="147" t="s">
        <v>676</v>
      </c>
      <c r="F1399" s="147"/>
      <c r="G1399" s="155">
        <f>G1400</f>
        <v>0</v>
      </c>
    </row>
    <row r="1400" spans="1:7" ht="15">
      <c r="A1400" s="157" t="s">
        <v>1150</v>
      </c>
      <c r="B1400" s="210" t="s">
        <v>477</v>
      </c>
      <c r="C1400" s="147" t="s">
        <v>438</v>
      </c>
      <c r="D1400" s="147" t="s">
        <v>1145</v>
      </c>
      <c r="E1400" s="147" t="s">
        <v>1106</v>
      </c>
      <c r="F1400" s="147"/>
      <c r="G1400" s="155">
        <f>G1401</f>
        <v>0</v>
      </c>
    </row>
    <row r="1401" spans="1:7" ht="24">
      <c r="A1401" s="152" t="s">
        <v>490</v>
      </c>
      <c r="B1401" s="210" t="s">
        <v>477</v>
      </c>
      <c r="C1401" s="147" t="s">
        <v>438</v>
      </c>
      <c r="D1401" s="147" t="s">
        <v>1145</v>
      </c>
      <c r="E1401" s="147" t="s">
        <v>1106</v>
      </c>
      <c r="F1401" s="147" t="s">
        <v>489</v>
      </c>
      <c r="G1401" s="155">
        <f>G1402</f>
        <v>0</v>
      </c>
    </row>
    <row r="1402" spans="1:7" ht="15">
      <c r="A1402" s="157" t="s">
        <v>371</v>
      </c>
      <c r="B1402" s="210" t="s">
        <v>477</v>
      </c>
      <c r="C1402" s="147" t="s">
        <v>438</v>
      </c>
      <c r="D1402" s="147" t="s">
        <v>1145</v>
      </c>
      <c r="E1402" s="147" t="s">
        <v>1106</v>
      </c>
      <c r="F1402" s="147" t="s">
        <v>574</v>
      </c>
      <c r="G1402" s="158">
        <f>11500-11500</f>
        <v>0</v>
      </c>
    </row>
    <row r="1403" spans="1:7" ht="15">
      <c r="A1403" s="190" t="s">
        <v>788</v>
      </c>
      <c r="B1403" s="210" t="s">
        <v>477</v>
      </c>
      <c r="C1403" s="147" t="s">
        <v>438</v>
      </c>
      <c r="D1403" s="147" t="s">
        <v>405</v>
      </c>
      <c r="E1403" s="147"/>
      <c r="F1403" s="147"/>
      <c r="G1403" s="155">
        <f>G1404</f>
        <v>17049.5</v>
      </c>
    </row>
    <row r="1404" spans="1:7" ht="36">
      <c r="A1404" s="160" t="s">
        <v>1537</v>
      </c>
      <c r="B1404" s="210" t="s">
        <v>477</v>
      </c>
      <c r="C1404" s="147" t="s">
        <v>438</v>
      </c>
      <c r="D1404" s="147" t="s">
        <v>405</v>
      </c>
      <c r="E1404" s="147" t="s">
        <v>1010</v>
      </c>
      <c r="F1404" s="147"/>
      <c r="G1404" s="155">
        <f>G1405+G1412</f>
        <v>17049.5</v>
      </c>
    </row>
    <row r="1405" spans="1:7" ht="48">
      <c r="A1405" s="152" t="s">
        <v>1579</v>
      </c>
      <c r="B1405" s="210" t="s">
        <v>477</v>
      </c>
      <c r="C1405" s="147" t="s">
        <v>438</v>
      </c>
      <c r="D1405" s="147" t="s">
        <v>405</v>
      </c>
      <c r="E1405" s="147" t="s">
        <v>1580</v>
      </c>
      <c r="F1405" s="147"/>
      <c r="G1405" s="155">
        <f>G1406</f>
        <v>17049.5</v>
      </c>
    </row>
    <row r="1406" spans="1:7" ht="24">
      <c r="A1406" s="157" t="s">
        <v>922</v>
      </c>
      <c r="B1406" s="210" t="s">
        <v>477</v>
      </c>
      <c r="C1406" s="147" t="s">
        <v>438</v>
      </c>
      <c r="D1406" s="147" t="s">
        <v>405</v>
      </c>
      <c r="E1406" s="147" t="s">
        <v>1582</v>
      </c>
      <c r="F1406" s="147"/>
      <c r="G1406" s="155">
        <f>G1407</f>
        <v>17049.5</v>
      </c>
    </row>
    <row r="1407" spans="1:7" ht="24">
      <c r="A1407" s="152" t="s">
        <v>490</v>
      </c>
      <c r="B1407" s="210" t="s">
        <v>477</v>
      </c>
      <c r="C1407" s="147" t="s">
        <v>438</v>
      </c>
      <c r="D1407" s="147" t="s">
        <v>405</v>
      </c>
      <c r="E1407" s="147" t="s">
        <v>1582</v>
      </c>
      <c r="F1407" s="147" t="s">
        <v>489</v>
      </c>
      <c r="G1407" s="155">
        <f>G1408</f>
        <v>17049.5</v>
      </c>
    </row>
    <row r="1408" spans="1:7" ht="15">
      <c r="A1408" s="157" t="s">
        <v>896</v>
      </c>
      <c r="B1408" s="210" t="s">
        <v>477</v>
      </c>
      <c r="C1408" s="147" t="s">
        <v>438</v>
      </c>
      <c r="D1408" s="147" t="s">
        <v>405</v>
      </c>
      <c r="E1408" s="147" t="s">
        <v>1582</v>
      </c>
      <c r="F1408" s="147" t="s">
        <v>574</v>
      </c>
      <c r="G1408" s="155">
        <f>G1409+G1410+G1411</f>
        <v>17049.5</v>
      </c>
    </row>
    <row r="1409" spans="1:7" ht="24">
      <c r="A1409" s="157" t="s">
        <v>501</v>
      </c>
      <c r="B1409" s="210" t="s">
        <v>477</v>
      </c>
      <c r="C1409" s="147" t="s">
        <v>438</v>
      </c>
      <c r="D1409" s="147" t="s">
        <v>405</v>
      </c>
      <c r="E1409" s="147" t="s">
        <v>1582</v>
      </c>
      <c r="F1409" s="147" t="s">
        <v>574</v>
      </c>
      <c r="G1409" s="158">
        <f>17565.4-4722.7</f>
        <v>12842.7</v>
      </c>
    </row>
    <row r="1410" spans="1:7" ht="36">
      <c r="A1410" s="157" t="s">
        <v>1493</v>
      </c>
      <c r="B1410" s="210" t="s">
        <v>477</v>
      </c>
      <c r="C1410" s="147" t="s">
        <v>438</v>
      </c>
      <c r="D1410" s="147" t="s">
        <v>405</v>
      </c>
      <c r="E1410" s="147" t="s">
        <v>1582</v>
      </c>
      <c r="F1410" s="147" t="s">
        <v>574</v>
      </c>
      <c r="G1410" s="158">
        <f>2105.5-87.5</f>
        <v>2018</v>
      </c>
    </row>
    <row r="1411" spans="1:7" ht="21.75" customHeight="1">
      <c r="A1411" s="157" t="s">
        <v>1494</v>
      </c>
      <c r="B1411" s="210" t="s">
        <v>477</v>
      </c>
      <c r="C1411" s="147" t="s">
        <v>438</v>
      </c>
      <c r="D1411" s="147" t="s">
        <v>405</v>
      </c>
      <c r="E1411" s="147" t="s">
        <v>1582</v>
      </c>
      <c r="F1411" s="147" t="s">
        <v>574</v>
      </c>
      <c r="G1411" s="158">
        <f>2370.4-181.6</f>
        <v>2188.8</v>
      </c>
    </row>
    <row r="1412" spans="1:7" ht="36">
      <c r="A1412" s="152" t="s">
        <v>1335</v>
      </c>
      <c r="B1412" s="210" t="s">
        <v>477</v>
      </c>
      <c r="C1412" s="147" t="s">
        <v>438</v>
      </c>
      <c r="D1412" s="147" t="s">
        <v>405</v>
      </c>
      <c r="E1412" s="147" t="s">
        <v>675</v>
      </c>
      <c r="F1412" s="147"/>
      <c r="G1412" s="155">
        <f>G1414</f>
        <v>0</v>
      </c>
    </row>
    <row r="1413" spans="1:7" ht="24">
      <c r="A1413" s="152" t="s">
        <v>673</v>
      </c>
      <c r="B1413" s="210" t="s">
        <v>477</v>
      </c>
      <c r="C1413" s="147" t="s">
        <v>438</v>
      </c>
      <c r="D1413" s="147" t="s">
        <v>405</v>
      </c>
      <c r="E1413" s="147" t="s">
        <v>473</v>
      </c>
      <c r="F1413" s="147"/>
      <c r="G1413" s="155">
        <f>G1414</f>
        <v>0</v>
      </c>
    </row>
    <row r="1414" spans="1:7" ht="24">
      <c r="A1414" s="157" t="s">
        <v>922</v>
      </c>
      <c r="B1414" s="210" t="s">
        <v>477</v>
      </c>
      <c r="C1414" s="147" t="s">
        <v>438</v>
      </c>
      <c r="D1414" s="147" t="s">
        <v>405</v>
      </c>
      <c r="E1414" s="147" t="s">
        <v>474</v>
      </c>
      <c r="F1414" s="147"/>
      <c r="G1414" s="155">
        <f>G1415</f>
        <v>0</v>
      </c>
    </row>
    <row r="1415" spans="1:7" ht="24">
      <c r="A1415" s="152" t="s">
        <v>490</v>
      </c>
      <c r="B1415" s="210" t="s">
        <v>477</v>
      </c>
      <c r="C1415" s="147" t="s">
        <v>438</v>
      </c>
      <c r="D1415" s="147" t="s">
        <v>405</v>
      </c>
      <c r="E1415" s="147" t="s">
        <v>474</v>
      </c>
      <c r="F1415" s="147" t="s">
        <v>489</v>
      </c>
      <c r="G1415" s="155">
        <f>G1416</f>
        <v>0</v>
      </c>
    </row>
    <row r="1416" spans="1:7" ht="15">
      <c r="A1416" s="157" t="s">
        <v>896</v>
      </c>
      <c r="B1416" s="210" t="s">
        <v>477</v>
      </c>
      <c r="C1416" s="147" t="s">
        <v>438</v>
      </c>
      <c r="D1416" s="147" t="s">
        <v>405</v>
      </c>
      <c r="E1416" s="147" t="s">
        <v>474</v>
      </c>
      <c r="F1416" s="147" t="s">
        <v>574</v>
      </c>
      <c r="G1416" s="158">
        <f>G1417+G1418+G1419</f>
        <v>0</v>
      </c>
    </row>
    <row r="1417" spans="1:7" ht="24">
      <c r="A1417" s="157" t="s">
        <v>501</v>
      </c>
      <c r="B1417" s="210" t="s">
        <v>477</v>
      </c>
      <c r="C1417" s="147" t="s">
        <v>438</v>
      </c>
      <c r="D1417" s="147" t="s">
        <v>405</v>
      </c>
      <c r="E1417" s="147" t="s">
        <v>474</v>
      </c>
      <c r="F1417" s="147" t="s">
        <v>574</v>
      </c>
      <c r="G1417" s="158">
        <f>17565.4-17565.4</f>
        <v>0</v>
      </c>
    </row>
    <row r="1418" spans="1:7" ht="36">
      <c r="A1418" s="157" t="s">
        <v>1493</v>
      </c>
      <c r="B1418" s="210" t="s">
        <v>477</v>
      </c>
      <c r="C1418" s="147" t="s">
        <v>438</v>
      </c>
      <c r="D1418" s="147" t="s">
        <v>405</v>
      </c>
      <c r="E1418" s="147" t="s">
        <v>474</v>
      </c>
      <c r="F1418" s="147" t="s">
        <v>574</v>
      </c>
      <c r="G1418" s="158">
        <f>6000-3894.5-2105.5</f>
        <v>0</v>
      </c>
    </row>
    <row r="1419" spans="1:7" ht="24">
      <c r="A1419" s="157" t="s">
        <v>1494</v>
      </c>
      <c r="B1419" s="210" t="s">
        <v>477</v>
      </c>
      <c r="C1419" s="147" t="s">
        <v>438</v>
      </c>
      <c r="D1419" s="147" t="s">
        <v>405</v>
      </c>
      <c r="E1419" s="147" t="s">
        <v>474</v>
      </c>
      <c r="F1419" s="147" t="s">
        <v>574</v>
      </c>
      <c r="G1419" s="158">
        <f>9000-6629.6-2370.4</f>
        <v>0</v>
      </c>
    </row>
    <row r="1420" spans="1:7" ht="15">
      <c r="A1420" s="156" t="s">
        <v>482</v>
      </c>
      <c r="B1420" s="210" t="s">
        <v>477</v>
      </c>
      <c r="C1420" s="147" t="s">
        <v>900</v>
      </c>
      <c r="D1420" s="147" t="s">
        <v>430</v>
      </c>
      <c r="E1420" s="147"/>
      <c r="F1420" s="147"/>
      <c r="G1420" s="167">
        <f>G1421</f>
        <v>44354.9</v>
      </c>
    </row>
    <row r="1421" spans="1:7" ht="24">
      <c r="A1421" s="160" t="s">
        <v>277</v>
      </c>
      <c r="B1421" s="210" t="s">
        <v>477</v>
      </c>
      <c r="C1421" s="147" t="s">
        <v>900</v>
      </c>
      <c r="D1421" s="147" t="s">
        <v>1145</v>
      </c>
      <c r="E1421" s="147" t="s">
        <v>677</v>
      </c>
      <c r="F1421" s="147"/>
      <c r="G1421" s="155">
        <f>G1422+G1424</f>
        <v>44354.9</v>
      </c>
    </row>
    <row r="1422" spans="1:7" ht="15">
      <c r="A1422" s="152" t="s">
        <v>484</v>
      </c>
      <c r="B1422" s="210" t="s">
        <v>477</v>
      </c>
      <c r="C1422" s="147" t="s">
        <v>900</v>
      </c>
      <c r="D1422" s="147" t="s">
        <v>1145</v>
      </c>
      <c r="E1422" s="147" t="s">
        <v>677</v>
      </c>
      <c r="F1422" s="147" t="s">
        <v>1168</v>
      </c>
      <c r="G1422" s="155">
        <f>G1423</f>
        <v>4354.900000000001</v>
      </c>
    </row>
    <row r="1423" spans="1:7" ht="15">
      <c r="A1423" s="157" t="s">
        <v>696</v>
      </c>
      <c r="B1423" s="210" t="s">
        <v>477</v>
      </c>
      <c r="C1423" s="147" t="s">
        <v>900</v>
      </c>
      <c r="D1423" s="147" t="s">
        <v>1145</v>
      </c>
      <c r="E1423" s="147" t="s">
        <v>677</v>
      </c>
      <c r="F1423" s="147" t="s">
        <v>349</v>
      </c>
      <c r="G1423" s="158">
        <f>42620-20000-8195-8840.8-230-491.2-508.1</f>
        <v>4354.900000000001</v>
      </c>
    </row>
    <row r="1424" spans="1:7" ht="15">
      <c r="A1424" s="153" t="s">
        <v>985</v>
      </c>
      <c r="B1424" s="210" t="s">
        <v>477</v>
      </c>
      <c r="C1424" s="147" t="s">
        <v>900</v>
      </c>
      <c r="D1424" s="147" t="s">
        <v>1145</v>
      </c>
      <c r="E1424" s="147" t="s">
        <v>677</v>
      </c>
      <c r="F1424" s="147" t="s">
        <v>986</v>
      </c>
      <c r="G1424" s="155">
        <f>G1425</f>
        <v>40000</v>
      </c>
    </row>
    <row r="1425" spans="1:7" ht="36">
      <c r="A1425" s="157" t="s">
        <v>563</v>
      </c>
      <c r="B1425" s="210" t="s">
        <v>477</v>
      </c>
      <c r="C1425" s="147" t="s">
        <v>900</v>
      </c>
      <c r="D1425" s="147" t="s">
        <v>1145</v>
      </c>
      <c r="E1425" s="147" t="s">
        <v>677</v>
      </c>
      <c r="F1425" s="147" t="s">
        <v>441</v>
      </c>
      <c r="G1425" s="158">
        <f>157380-47000+20000-90380</f>
        <v>40000</v>
      </c>
    </row>
    <row r="1426" spans="1:7" ht="39">
      <c r="A1426" s="166" t="s">
        <v>1133</v>
      </c>
      <c r="B1426" s="210" t="s">
        <v>477</v>
      </c>
      <c r="C1426" s="146" t="s">
        <v>175</v>
      </c>
      <c r="D1426" s="168"/>
      <c r="E1426" s="168"/>
      <c r="F1426" s="146"/>
      <c r="G1426" s="167">
        <f>G1427</f>
        <v>333236</v>
      </c>
    </row>
    <row r="1427" spans="1:7" ht="15">
      <c r="A1427" s="156" t="s">
        <v>512</v>
      </c>
      <c r="B1427" s="210" t="s">
        <v>477</v>
      </c>
      <c r="C1427" s="169" t="s">
        <v>175</v>
      </c>
      <c r="D1427" s="169" t="s">
        <v>436</v>
      </c>
      <c r="E1427" s="169"/>
      <c r="F1427" s="147"/>
      <c r="G1427" s="155">
        <f>G1428</f>
        <v>333236</v>
      </c>
    </row>
    <row r="1428" spans="1:7" ht="36">
      <c r="A1428" s="152" t="s">
        <v>683</v>
      </c>
      <c r="B1428" s="210" t="s">
        <v>477</v>
      </c>
      <c r="C1428" s="147" t="s">
        <v>175</v>
      </c>
      <c r="D1428" s="147" t="s">
        <v>436</v>
      </c>
      <c r="E1428" s="147" t="s">
        <v>678</v>
      </c>
      <c r="F1428" s="147"/>
      <c r="G1428" s="155">
        <f>G1429</f>
        <v>333236</v>
      </c>
    </row>
    <row r="1429" spans="1:7" ht="15">
      <c r="A1429" s="152" t="s">
        <v>487</v>
      </c>
      <c r="B1429" s="210" t="s">
        <v>477</v>
      </c>
      <c r="C1429" s="147" t="s">
        <v>175</v>
      </c>
      <c r="D1429" s="147" t="s">
        <v>436</v>
      </c>
      <c r="E1429" s="147" t="s">
        <v>678</v>
      </c>
      <c r="F1429" s="147" t="s">
        <v>485</v>
      </c>
      <c r="G1429" s="155">
        <f>G1430</f>
        <v>333236</v>
      </c>
    </row>
    <row r="1430" spans="1:7" ht="15">
      <c r="A1430" s="152" t="s">
        <v>488</v>
      </c>
      <c r="B1430" s="210" t="s">
        <v>477</v>
      </c>
      <c r="C1430" s="147" t="s">
        <v>175</v>
      </c>
      <c r="D1430" s="147" t="s">
        <v>436</v>
      </c>
      <c r="E1430" s="147" t="s">
        <v>678</v>
      </c>
      <c r="F1430" s="147" t="s">
        <v>486</v>
      </c>
      <c r="G1430" s="158">
        <v>333236</v>
      </c>
    </row>
    <row r="1431" spans="1:7" ht="15">
      <c r="A1431" s="207" t="s">
        <v>462</v>
      </c>
      <c r="B1431" s="208" t="s">
        <v>418</v>
      </c>
      <c r="C1431" s="208"/>
      <c r="D1431" s="208"/>
      <c r="E1431" s="208"/>
      <c r="F1431" s="208"/>
      <c r="G1431" s="209">
        <f>G1432</f>
        <v>11187.2</v>
      </c>
    </row>
    <row r="1432" spans="1:7" ht="15">
      <c r="A1432" s="212" t="s">
        <v>70</v>
      </c>
      <c r="B1432" s="210" t="s">
        <v>418</v>
      </c>
      <c r="C1432" s="147" t="s">
        <v>1145</v>
      </c>
      <c r="D1432" s="147"/>
      <c r="E1432" s="147"/>
      <c r="F1432" s="147"/>
      <c r="G1432" s="155">
        <f>G1433+G1438</f>
        <v>11187.2</v>
      </c>
    </row>
    <row r="1433" spans="1:7" ht="24">
      <c r="A1433" s="149" t="s">
        <v>1152</v>
      </c>
      <c r="B1433" s="210" t="s">
        <v>418</v>
      </c>
      <c r="C1433" s="147" t="s">
        <v>1145</v>
      </c>
      <c r="D1433" s="150" t="s">
        <v>405</v>
      </c>
      <c r="E1433" s="147"/>
      <c r="F1433" s="147"/>
      <c r="G1433" s="155">
        <f>G1435</f>
        <v>1286.9</v>
      </c>
    </row>
    <row r="1434" spans="1:7" ht="18.75" customHeight="1">
      <c r="A1434" s="152" t="s">
        <v>33</v>
      </c>
      <c r="B1434" s="210" t="s">
        <v>418</v>
      </c>
      <c r="C1434" s="150" t="s">
        <v>1145</v>
      </c>
      <c r="D1434" s="150" t="s">
        <v>405</v>
      </c>
      <c r="E1434" s="147" t="s">
        <v>136</v>
      </c>
      <c r="F1434" s="150"/>
      <c r="G1434" s="151">
        <f>G1435</f>
        <v>1286.9</v>
      </c>
    </row>
    <row r="1435" spans="1:7" ht="15">
      <c r="A1435" s="153" t="s">
        <v>29</v>
      </c>
      <c r="B1435" s="210" t="s">
        <v>418</v>
      </c>
      <c r="C1435" s="150" t="s">
        <v>1145</v>
      </c>
      <c r="D1435" s="150" t="s">
        <v>405</v>
      </c>
      <c r="E1435" s="147" t="s">
        <v>585</v>
      </c>
      <c r="F1435" s="150"/>
      <c r="G1435" s="151">
        <f>G1436</f>
        <v>1286.9</v>
      </c>
    </row>
    <row r="1436" spans="1:7" ht="48">
      <c r="A1436" s="153" t="s">
        <v>1065</v>
      </c>
      <c r="B1436" s="210" t="s">
        <v>418</v>
      </c>
      <c r="C1436" s="150" t="s">
        <v>1145</v>
      </c>
      <c r="D1436" s="150" t="s">
        <v>405</v>
      </c>
      <c r="E1436" s="147" t="s">
        <v>585</v>
      </c>
      <c r="F1436" s="150" t="s">
        <v>960</v>
      </c>
      <c r="G1436" s="151">
        <f>G1437</f>
        <v>1286.9</v>
      </c>
    </row>
    <row r="1437" spans="1:7" ht="15">
      <c r="A1437" s="153" t="s">
        <v>515</v>
      </c>
      <c r="B1437" s="210" t="s">
        <v>418</v>
      </c>
      <c r="C1437" s="150" t="s">
        <v>1145</v>
      </c>
      <c r="D1437" s="150" t="s">
        <v>405</v>
      </c>
      <c r="E1437" s="147" t="s">
        <v>585</v>
      </c>
      <c r="F1437" s="150" t="s">
        <v>115</v>
      </c>
      <c r="G1437" s="154">
        <f>3046-60.6-1698.5</f>
        <v>1286.9</v>
      </c>
    </row>
    <row r="1438" spans="1:7" ht="33.75">
      <c r="A1438" s="156" t="s">
        <v>442</v>
      </c>
      <c r="B1438" s="210" t="s">
        <v>418</v>
      </c>
      <c r="C1438" s="147" t="s">
        <v>1145</v>
      </c>
      <c r="D1438" s="147" t="s">
        <v>436</v>
      </c>
      <c r="E1438" s="147"/>
      <c r="F1438" s="147"/>
      <c r="G1438" s="155">
        <f>G1439</f>
        <v>9900.300000000001</v>
      </c>
    </row>
    <row r="1439" spans="1:7" ht="24">
      <c r="A1439" s="152" t="s">
        <v>33</v>
      </c>
      <c r="B1439" s="210" t="s">
        <v>418</v>
      </c>
      <c r="C1439" s="147" t="s">
        <v>1145</v>
      </c>
      <c r="D1439" s="147" t="s">
        <v>436</v>
      </c>
      <c r="E1439" s="147" t="s">
        <v>136</v>
      </c>
      <c r="F1439" s="147"/>
      <c r="G1439" s="155">
        <f>G1440</f>
        <v>9900.300000000001</v>
      </c>
    </row>
    <row r="1440" spans="1:7" ht="15">
      <c r="A1440" s="157" t="s">
        <v>635</v>
      </c>
      <c r="B1440" s="210" t="s">
        <v>418</v>
      </c>
      <c r="C1440" s="147" t="s">
        <v>443</v>
      </c>
      <c r="D1440" s="147" t="s">
        <v>436</v>
      </c>
      <c r="E1440" s="147" t="s">
        <v>586</v>
      </c>
      <c r="F1440" s="147"/>
      <c r="G1440" s="151">
        <f>G1441+G1443+G1445</f>
        <v>9900.300000000001</v>
      </c>
    </row>
    <row r="1441" spans="1:7" ht="48">
      <c r="A1441" s="153" t="s">
        <v>1065</v>
      </c>
      <c r="B1441" s="210" t="s">
        <v>418</v>
      </c>
      <c r="C1441" s="147" t="s">
        <v>1145</v>
      </c>
      <c r="D1441" s="147" t="s">
        <v>436</v>
      </c>
      <c r="E1441" s="147" t="s">
        <v>586</v>
      </c>
      <c r="F1441" s="147" t="s">
        <v>960</v>
      </c>
      <c r="G1441" s="151">
        <f>G1442</f>
        <v>9547.6</v>
      </c>
    </row>
    <row r="1442" spans="1:7" ht="15">
      <c r="A1442" s="153" t="s">
        <v>515</v>
      </c>
      <c r="B1442" s="210" t="s">
        <v>418</v>
      </c>
      <c r="C1442" s="147" t="s">
        <v>1145</v>
      </c>
      <c r="D1442" s="147" t="s">
        <v>436</v>
      </c>
      <c r="E1442" s="147" t="s">
        <v>586</v>
      </c>
      <c r="F1442" s="147" t="s">
        <v>115</v>
      </c>
      <c r="G1442" s="154">
        <f>9547.6</f>
        <v>9547.6</v>
      </c>
    </row>
    <row r="1443" spans="1:7" ht="24">
      <c r="A1443" s="153" t="s">
        <v>1066</v>
      </c>
      <c r="B1443" s="210" t="s">
        <v>418</v>
      </c>
      <c r="C1443" s="147" t="s">
        <v>1145</v>
      </c>
      <c r="D1443" s="147" t="s">
        <v>436</v>
      </c>
      <c r="E1443" s="147" t="s">
        <v>586</v>
      </c>
      <c r="F1443" s="147" t="s">
        <v>529</v>
      </c>
      <c r="G1443" s="155">
        <f>G1444</f>
        <v>230.7</v>
      </c>
    </row>
    <row r="1444" spans="1:7" ht="15">
      <c r="A1444" s="153" t="s">
        <v>974</v>
      </c>
      <c r="B1444" s="210" t="s">
        <v>418</v>
      </c>
      <c r="C1444" s="147" t="s">
        <v>1145</v>
      </c>
      <c r="D1444" s="147" t="s">
        <v>436</v>
      </c>
      <c r="E1444" s="147" t="s">
        <v>586</v>
      </c>
      <c r="F1444" s="147" t="s">
        <v>429</v>
      </c>
      <c r="G1444" s="158">
        <f>255.7+75-100</f>
        <v>230.7</v>
      </c>
    </row>
    <row r="1445" spans="1:7" ht="15">
      <c r="A1445" s="153" t="s">
        <v>985</v>
      </c>
      <c r="B1445" s="210" t="s">
        <v>418</v>
      </c>
      <c r="C1445" s="147" t="s">
        <v>1145</v>
      </c>
      <c r="D1445" s="147" t="s">
        <v>436</v>
      </c>
      <c r="E1445" s="147" t="s">
        <v>586</v>
      </c>
      <c r="F1445" s="147" t="s">
        <v>986</v>
      </c>
      <c r="G1445" s="155">
        <f>G1446</f>
        <v>122</v>
      </c>
    </row>
    <row r="1446" spans="1:7" ht="15">
      <c r="A1446" s="153" t="s">
        <v>459</v>
      </c>
      <c r="B1446" s="210" t="s">
        <v>418</v>
      </c>
      <c r="C1446" s="147" t="s">
        <v>1145</v>
      </c>
      <c r="D1446" s="147" t="s">
        <v>436</v>
      </c>
      <c r="E1446" s="147" t="s">
        <v>586</v>
      </c>
      <c r="F1446" s="147" t="s">
        <v>460</v>
      </c>
      <c r="G1446" s="158">
        <f>122</f>
        <v>122</v>
      </c>
    </row>
    <row r="1447" spans="1:7" ht="27">
      <c r="A1447" s="207" t="s">
        <v>183</v>
      </c>
      <c r="B1447" s="208" t="s">
        <v>90</v>
      </c>
      <c r="C1447" s="210"/>
      <c r="D1447" s="210"/>
      <c r="E1447" s="210"/>
      <c r="F1447" s="210"/>
      <c r="G1447" s="209">
        <f>G1448</f>
        <v>5086.6</v>
      </c>
    </row>
    <row r="1448" spans="1:7" ht="15">
      <c r="A1448" s="212" t="s">
        <v>70</v>
      </c>
      <c r="B1448" s="210" t="s">
        <v>90</v>
      </c>
      <c r="C1448" s="147" t="s">
        <v>443</v>
      </c>
      <c r="D1448" s="147"/>
      <c r="E1448" s="147"/>
      <c r="F1448" s="147"/>
      <c r="G1448" s="155">
        <f>G1449</f>
        <v>5086.6</v>
      </c>
    </row>
    <row r="1449" spans="1:7" ht="33.75">
      <c r="A1449" s="156" t="s">
        <v>440</v>
      </c>
      <c r="B1449" s="210" t="s">
        <v>90</v>
      </c>
      <c r="C1449" s="147" t="s">
        <v>1145</v>
      </c>
      <c r="D1449" s="147" t="s">
        <v>431</v>
      </c>
      <c r="E1449" s="147"/>
      <c r="F1449" s="147"/>
      <c r="G1449" s="155">
        <f>G1450</f>
        <v>5086.6</v>
      </c>
    </row>
    <row r="1450" spans="1:7" ht="24">
      <c r="A1450" s="152" t="s">
        <v>33</v>
      </c>
      <c r="B1450" s="210" t="s">
        <v>90</v>
      </c>
      <c r="C1450" s="147" t="s">
        <v>443</v>
      </c>
      <c r="D1450" s="147" t="s">
        <v>431</v>
      </c>
      <c r="E1450" s="147" t="s">
        <v>136</v>
      </c>
      <c r="F1450" s="147"/>
      <c r="G1450" s="155">
        <f>G1451</f>
        <v>5086.6</v>
      </c>
    </row>
    <row r="1451" spans="1:7" ht="15">
      <c r="A1451" s="152" t="s">
        <v>1056</v>
      </c>
      <c r="B1451" s="210" t="s">
        <v>90</v>
      </c>
      <c r="C1451" s="147" t="s">
        <v>443</v>
      </c>
      <c r="D1451" s="147" t="s">
        <v>431</v>
      </c>
      <c r="E1451" s="147" t="s">
        <v>587</v>
      </c>
      <c r="F1451" s="147"/>
      <c r="G1451" s="155">
        <f>G1452+G1454</f>
        <v>5086.6</v>
      </c>
    </row>
    <row r="1452" spans="1:7" ht="48">
      <c r="A1452" s="153" t="s">
        <v>1065</v>
      </c>
      <c r="B1452" s="210" t="s">
        <v>90</v>
      </c>
      <c r="C1452" s="147" t="s">
        <v>1145</v>
      </c>
      <c r="D1452" s="147" t="s">
        <v>431</v>
      </c>
      <c r="E1452" s="147" t="s">
        <v>587</v>
      </c>
      <c r="F1452" s="147" t="s">
        <v>960</v>
      </c>
      <c r="G1452" s="155">
        <f>G1453</f>
        <v>4943.1</v>
      </c>
    </row>
    <row r="1453" spans="1:7" ht="15">
      <c r="A1453" s="153" t="s">
        <v>515</v>
      </c>
      <c r="B1453" s="210" t="s">
        <v>90</v>
      </c>
      <c r="C1453" s="147" t="s">
        <v>1145</v>
      </c>
      <c r="D1453" s="147" t="s">
        <v>431</v>
      </c>
      <c r="E1453" s="147" t="s">
        <v>587</v>
      </c>
      <c r="F1453" s="147" t="s">
        <v>115</v>
      </c>
      <c r="G1453" s="158">
        <f>4943.1</f>
        <v>4943.1</v>
      </c>
    </row>
    <row r="1454" spans="1:7" ht="24">
      <c r="A1454" s="153" t="s">
        <v>1066</v>
      </c>
      <c r="B1454" s="210" t="s">
        <v>90</v>
      </c>
      <c r="C1454" s="147" t="s">
        <v>1145</v>
      </c>
      <c r="D1454" s="147" t="s">
        <v>431</v>
      </c>
      <c r="E1454" s="147" t="s">
        <v>587</v>
      </c>
      <c r="F1454" s="147" t="s">
        <v>529</v>
      </c>
      <c r="G1454" s="155">
        <f>G1455</f>
        <v>143.5</v>
      </c>
    </row>
    <row r="1455" spans="1:7" ht="15">
      <c r="A1455" s="153" t="s">
        <v>974</v>
      </c>
      <c r="B1455" s="210" t="s">
        <v>90</v>
      </c>
      <c r="C1455" s="147" t="s">
        <v>1145</v>
      </c>
      <c r="D1455" s="147" t="s">
        <v>431</v>
      </c>
      <c r="E1455" s="147" t="s">
        <v>587</v>
      </c>
      <c r="F1455" s="147" t="s">
        <v>429</v>
      </c>
      <c r="G1455" s="158">
        <f>80+63.5</f>
        <v>143.5</v>
      </c>
    </row>
    <row r="1456" spans="1:7" ht="27">
      <c r="A1456" s="207" t="s">
        <v>1059</v>
      </c>
      <c r="B1456" s="208" t="s">
        <v>622</v>
      </c>
      <c r="C1456" s="208"/>
      <c r="D1456" s="208"/>
      <c r="E1456" s="208"/>
      <c r="F1456" s="208"/>
      <c r="G1456" s="209">
        <f>G1457</f>
        <v>23240.9</v>
      </c>
    </row>
    <row r="1457" spans="1:7" ht="15">
      <c r="A1457" s="212" t="s">
        <v>70</v>
      </c>
      <c r="B1457" s="210" t="s">
        <v>622</v>
      </c>
      <c r="C1457" s="147" t="s">
        <v>1145</v>
      </c>
      <c r="D1457" s="147"/>
      <c r="E1457" s="147"/>
      <c r="F1457" s="147"/>
      <c r="G1457" s="155">
        <f>G1458</f>
        <v>23240.9</v>
      </c>
    </row>
    <row r="1458" spans="1:7" ht="33.75">
      <c r="A1458" s="156" t="s">
        <v>440</v>
      </c>
      <c r="B1458" s="210" t="s">
        <v>622</v>
      </c>
      <c r="C1458" s="147" t="s">
        <v>1145</v>
      </c>
      <c r="D1458" s="147" t="s">
        <v>431</v>
      </c>
      <c r="E1458" s="147"/>
      <c r="F1458" s="147"/>
      <c r="G1458" s="155">
        <f>G1459</f>
        <v>23240.9</v>
      </c>
    </row>
    <row r="1459" spans="1:7" ht="24">
      <c r="A1459" s="160" t="s">
        <v>1273</v>
      </c>
      <c r="B1459" s="210" t="s">
        <v>622</v>
      </c>
      <c r="C1459" s="147" t="s">
        <v>1145</v>
      </c>
      <c r="D1459" s="147" t="s">
        <v>431</v>
      </c>
      <c r="E1459" s="147" t="s">
        <v>733</v>
      </c>
      <c r="F1459" s="147"/>
      <c r="G1459" s="155">
        <f>G1460+G1468</f>
        <v>23240.9</v>
      </c>
    </row>
    <row r="1460" spans="1:7" ht="36">
      <c r="A1460" s="157" t="s">
        <v>1274</v>
      </c>
      <c r="B1460" s="210" t="s">
        <v>622</v>
      </c>
      <c r="C1460" s="147" t="s">
        <v>1145</v>
      </c>
      <c r="D1460" s="147" t="s">
        <v>431</v>
      </c>
      <c r="E1460" s="147" t="s">
        <v>133</v>
      </c>
      <c r="F1460" s="147"/>
      <c r="G1460" s="155">
        <f>G1461</f>
        <v>23240.9</v>
      </c>
    </row>
    <row r="1461" spans="1:7" ht="24">
      <c r="A1461" s="152" t="s">
        <v>726</v>
      </c>
      <c r="B1461" s="210" t="s">
        <v>622</v>
      </c>
      <c r="C1461" s="147" t="s">
        <v>1145</v>
      </c>
      <c r="D1461" s="147" t="s">
        <v>431</v>
      </c>
      <c r="E1461" s="147" t="s">
        <v>134</v>
      </c>
      <c r="F1461" s="147"/>
      <c r="G1461" s="155">
        <f>G1462</f>
        <v>23240.9</v>
      </c>
    </row>
    <row r="1462" spans="1:7" ht="15">
      <c r="A1462" s="152" t="s">
        <v>191</v>
      </c>
      <c r="B1462" s="210" t="s">
        <v>622</v>
      </c>
      <c r="C1462" s="147" t="s">
        <v>1145</v>
      </c>
      <c r="D1462" s="147" t="s">
        <v>431</v>
      </c>
      <c r="E1462" s="147" t="s">
        <v>135</v>
      </c>
      <c r="F1462" s="147"/>
      <c r="G1462" s="155">
        <f>G1463+G1465</f>
        <v>23240.9</v>
      </c>
    </row>
    <row r="1463" spans="1:7" ht="25.5" customHeight="1">
      <c r="A1463" s="153" t="s">
        <v>1065</v>
      </c>
      <c r="B1463" s="210" t="s">
        <v>622</v>
      </c>
      <c r="C1463" s="147" t="s">
        <v>1145</v>
      </c>
      <c r="D1463" s="147" t="s">
        <v>431</v>
      </c>
      <c r="E1463" s="147" t="s">
        <v>135</v>
      </c>
      <c r="F1463" s="147" t="s">
        <v>960</v>
      </c>
      <c r="G1463" s="155">
        <f>G1464</f>
        <v>22952.9</v>
      </c>
    </row>
    <row r="1464" spans="1:7" ht="15">
      <c r="A1464" s="153" t="s">
        <v>515</v>
      </c>
      <c r="B1464" s="210" t="s">
        <v>622</v>
      </c>
      <c r="C1464" s="147" t="s">
        <v>1145</v>
      </c>
      <c r="D1464" s="147" t="s">
        <v>431</v>
      </c>
      <c r="E1464" s="147" t="s">
        <v>135</v>
      </c>
      <c r="F1464" s="147" t="s">
        <v>115</v>
      </c>
      <c r="G1464" s="158">
        <f>20867.9+1613+487-15</f>
        <v>22952.9</v>
      </c>
    </row>
    <row r="1465" spans="1:7" ht="24">
      <c r="A1465" s="153" t="s">
        <v>1066</v>
      </c>
      <c r="B1465" s="210" t="s">
        <v>622</v>
      </c>
      <c r="C1465" s="147" t="s">
        <v>1145</v>
      </c>
      <c r="D1465" s="147" t="s">
        <v>431</v>
      </c>
      <c r="E1465" s="147" t="s">
        <v>135</v>
      </c>
      <c r="F1465" s="147" t="s">
        <v>529</v>
      </c>
      <c r="G1465" s="155">
        <f>G1466</f>
        <v>288</v>
      </c>
    </row>
    <row r="1466" spans="1:7" ht="15">
      <c r="A1466" s="153" t="s">
        <v>591</v>
      </c>
      <c r="B1466" s="210" t="s">
        <v>622</v>
      </c>
      <c r="C1466" s="147" t="s">
        <v>1145</v>
      </c>
      <c r="D1466" s="147" t="s">
        <v>431</v>
      </c>
      <c r="E1466" s="147" t="s">
        <v>135</v>
      </c>
      <c r="F1466" s="147" t="s">
        <v>429</v>
      </c>
      <c r="G1466" s="158">
        <f>351-78+15</f>
        <v>288</v>
      </c>
    </row>
    <row r="1467" spans="1:7" ht="15">
      <c r="A1467" s="153"/>
      <c r="B1467" s="147"/>
      <c r="C1467" s="147"/>
      <c r="D1467" s="147"/>
      <c r="E1467" s="147"/>
      <c r="F1467" s="147"/>
      <c r="G1467" s="158"/>
    </row>
    <row r="1468" spans="1:7" ht="15">
      <c r="A1468" s="217" t="s">
        <v>516</v>
      </c>
      <c r="B1468" s="218"/>
      <c r="C1468" s="219"/>
      <c r="D1468" s="219"/>
      <c r="E1468" s="219"/>
      <c r="F1468" s="242"/>
      <c r="G1468" s="220"/>
    </row>
    <row r="1469" spans="1:7" ht="15">
      <c r="A1469" s="211" t="s">
        <v>517</v>
      </c>
      <c r="B1469" s="221"/>
      <c r="C1469" s="147"/>
      <c r="D1469" s="147"/>
      <c r="E1469" s="147"/>
      <c r="F1469" s="147"/>
      <c r="G1469" s="158"/>
    </row>
    <row r="1470" spans="1:7" ht="15">
      <c r="A1470" s="153"/>
      <c r="B1470" s="147"/>
      <c r="C1470" s="147"/>
      <c r="D1470" s="147"/>
      <c r="E1470" s="147"/>
      <c r="F1470" s="147"/>
      <c r="G1470" s="155"/>
    </row>
    <row r="1471" spans="1:7" ht="15">
      <c r="A1471" s="152"/>
      <c r="B1471" s="147"/>
      <c r="C1471" s="147"/>
      <c r="D1471" s="147"/>
      <c r="E1471" s="147"/>
      <c r="F1471" s="147"/>
      <c r="G1471" s="158"/>
    </row>
    <row r="1472" spans="1:7" ht="15">
      <c r="A1472" s="157"/>
      <c r="B1472" s="147"/>
      <c r="C1472" s="147"/>
      <c r="D1472" s="147"/>
      <c r="E1472" s="147"/>
      <c r="F1472" s="147"/>
      <c r="G1472" s="158"/>
    </row>
    <row r="1473" spans="1:7" ht="15">
      <c r="A1473" s="157"/>
      <c r="B1473" s="147"/>
      <c r="C1473" s="147"/>
      <c r="D1473" s="147"/>
      <c r="E1473" s="147"/>
      <c r="F1473" s="147"/>
      <c r="G1473" s="155"/>
    </row>
    <row r="1474" spans="1:7" ht="15">
      <c r="A1474" s="153"/>
      <c r="B1474" s="147"/>
      <c r="C1474" s="147"/>
      <c r="D1474" s="147"/>
      <c r="E1474" s="147"/>
      <c r="F1474" s="147"/>
      <c r="G1474" s="155"/>
    </row>
    <row r="1475" spans="1:7" ht="15">
      <c r="A1475" s="152"/>
      <c r="B1475" s="147"/>
      <c r="C1475" s="147"/>
      <c r="D1475" s="147"/>
      <c r="E1475" s="147"/>
      <c r="F1475" s="147"/>
      <c r="G1475" s="158"/>
    </row>
    <row r="1476" ht="15">
      <c r="G1476" s="105"/>
    </row>
    <row r="1477" ht="15">
      <c r="G1477" s="105"/>
    </row>
    <row r="1478" ht="15">
      <c r="G1478" s="105"/>
    </row>
    <row r="1479" ht="15">
      <c r="G1479" s="105"/>
    </row>
    <row r="1480" ht="15">
      <c r="G1480" s="105"/>
    </row>
    <row r="1481" ht="15">
      <c r="G1481" s="105"/>
    </row>
    <row r="1482" ht="15">
      <c r="G1482" s="105"/>
    </row>
    <row r="1483" ht="15">
      <c r="G1483" s="105"/>
    </row>
    <row r="1484" spans="7:10" ht="15">
      <c r="G1484" s="105"/>
      <c r="J1484" s="63">
        <f>G1205+G1214+G1219+G1224+G1229+G1234+G1239+G1244+G1249+G1254+G1257+G1261+G1264+G1267+G1272+G1277+G1283+G1286+G1293+G1298+G1307+G1312+G1321+G1324</f>
        <v>51178.100000000006</v>
      </c>
    </row>
    <row r="1485" ht="15">
      <c r="G1485" s="105"/>
    </row>
    <row r="1486" ht="15">
      <c r="G1486" s="105"/>
    </row>
    <row r="1487" ht="15">
      <c r="G1487" s="105"/>
    </row>
    <row r="1488" ht="15">
      <c r="G1488" s="105"/>
    </row>
    <row r="1489" ht="15">
      <c r="G1489" s="105"/>
    </row>
    <row r="1490" ht="15">
      <c r="G1490" s="105"/>
    </row>
    <row r="1491" ht="15">
      <c r="G1491" s="105"/>
    </row>
    <row r="1492" ht="15">
      <c r="G1492" s="105"/>
    </row>
    <row r="1493" ht="15">
      <c r="G1493" s="105"/>
    </row>
    <row r="1494" ht="15">
      <c r="G1494" s="105"/>
    </row>
    <row r="1495" ht="15">
      <c r="G1495" s="105"/>
    </row>
    <row r="1496" ht="15">
      <c r="G1496" s="105"/>
    </row>
    <row r="1497" ht="15">
      <c r="G1497" s="105"/>
    </row>
    <row r="1498" ht="15">
      <c r="G1498" s="105"/>
    </row>
    <row r="1499" ht="15">
      <c r="G1499" s="105"/>
    </row>
    <row r="1500" ht="15">
      <c r="G1500" s="105"/>
    </row>
    <row r="1501" ht="15">
      <c r="G1501" s="105"/>
    </row>
    <row r="1502" ht="15">
      <c r="G1502" s="105"/>
    </row>
    <row r="1503" ht="15">
      <c r="G1503" s="105"/>
    </row>
    <row r="1504" ht="15">
      <c r="G1504" s="105"/>
    </row>
    <row r="1505" ht="15">
      <c r="G1505" s="105"/>
    </row>
    <row r="1506" ht="15">
      <c r="G1506" s="105"/>
    </row>
    <row r="1507" ht="15">
      <c r="G1507" s="105"/>
    </row>
    <row r="1508" ht="15">
      <c r="G1508" s="105"/>
    </row>
    <row r="1509" ht="15">
      <c r="G1509" s="105"/>
    </row>
    <row r="1510" ht="15">
      <c r="G1510" s="105"/>
    </row>
    <row r="1511" ht="15">
      <c r="G1511" s="105"/>
    </row>
    <row r="1512" ht="15">
      <c r="G1512" s="105"/>
    </row>
    <row r="1513" ht="15">
      <c r="G1513" s="105"/>
    </row>
    <row r="1514" ht="15">
      <c r="G1514" s="105"/>
    </row>
    <row r="1515" ht="15">
      <c r="G1515" s="105"/>
    </row>
    <row r="1516" ht="15">
      <c r="G1516" s="105"/>
    </row>
    <row r="1517" ht="15">
      <c r="G1517" s="105"/>
    </row>
    <row r="1518" ht="15">
      <c r="G1518" s="105"/>
    </row>
    <row r="1519" ht="15">
      <c r="G1519" s="105"/>
    </row>
    <row r="1520" ht="15">
      <c r="G1520" s="105"/>
    </row>
    <row r="1521" ht="15">
      <c r="G1521" s="105"/>
    </row>
    <row r="1522" ht="15">
      <c r="G1522" s="105"/>
    </row>
    <row r="1523" ht="15">
      <c r="G1523" s="105"/>
    </row>
    <row r="1524" ht="15">
      <c r="G1524" s="105"/>
    </row>
    <row r="1525" ht="15">
      <c r="G1525" s="105"/>
    </row>
    <row r="1526" ht="15">
      <c r="G1526" s="105"/>
    </row>
    <row r="1527" ht="15">
      <c r="G1527" s="105"/>
    </row>
    <row r="1528" ht="15">
      <c r="G1528" s="105"/>
    </row>
    <row r="1529" ht="15">
      <c r="G1529" s="105"/>
    </row>
    <row r="1530" ht="15">
      <c r="G1530" s="105"/>
    </row>
    <row r="1531" ht="15">
      <c r="G1531" s="105"/>
    </row>
    <row r="1532" ht="15">
      <c r="G1532" s="105"/>
    </row>
    <row r="1533" ht="15">
      <c r="G1533" s="105"/>
    </row>
    <row r="1534" ht="15">
      <c r="G1534" s="105"/>
    </row>
    <row r="1535" ht="15">
      <c r="G1535" s="105"/>
    </row>
    <row r="1536" ht="15">
      <c r="G1536" s="105"/>
    </row>
    <row r="1537" ht="15">
      <c r="G1537" s="105"/>
    </row>
    <row r="1538" ht="15">
      <c r="G1538" s="105"/>
    </row>
    <row r="1539" ht="15">
      <c r="G1539" s="105"/>
    </row>
    <row r="1540" ht="15">
      <c r="G1540" s="105"/>
    </row>
    <row r="1541" ht="15">
      <c r="G1541" s="105"/>
    </row>
    <row r="1542" ht="15">
      <c r="G1542" s="105"/>
    </row>
    <row r="1543" ht="15">
      <c r="G1543" s="105"/>
    </row>
    <row r="1544" ht="15">
      <c r="G1544" s="105"/>
    </row>
    <row r="1545" ht="15">
      <c r="G1545" s="105"/>
    </row>
    <row r="1546" ht="15">
      <c r="G1546" s="105"/>
    </row>
    <row r="1547" ht="15">
      <c r="G1547" s="105"/>
    </row>
    <row r="1548" ht="15">
      <c r="G1548" s="105"/>
    </row>
    <row r="1549" ht="15">
      <c r="G1549" s="105"/>
    </row>
    <row r="1550" ht="15">
      <c r="G1550" s="105"/>
    </row>
    <row r="1551" ht="15">
      <c r="G1551" s="105"/>
    </row>
    <row r="1552" ht="15">
      <c r="G1552" s="105"/>
    </row>
    <row r="1553" ht="15">
      <c r="G1553" s="105"/>
    </row>
    <row r="1554" ht="15">
      <c r="G1554" s="105"/>
    </row>
    <row r="1555" ht="15">
      <c r="G1555" s="105"/>
    </row>
    <row r="1556" ht="15">
      <c r="G1556" s="105"/>
    </row>
    <row r="1557" ht="15">
      <c r="G1557" s="105"/>
    </row>
    <row r="1558" ht="15">
      <c r="G1558" s="105"/>
    </row>
    <row r="1559" ht="15">
      <c r="G1559" s="105"/>
    </row>
    <row r="1560" ht="15">
      <c r="G1560" s="105"/>
    </row>
    <row r="1561" ht="15">
      <c r="G1561" s="105"/>
    </row>
    <row r="1562" ht="15">
      <c r="G1562" s="105"/>
    </row>
    <row r="1563" ht="15">
      <c r="G1563" s="105"/>
    </row>
    <row r="1564" ht="15">
      <c r="G1564" s="105"/>
    </row>
    <row r="1565" ht="15">
      <c r="G1565" s="105"/>
    </row>
    <row r="1566" ht="15">
      <c r="G1566" s="105"/>
    </row>
    <row r="1567" ht="15">
      <c r="G1567" s="105"/>
    </row>
    <row r="1568" ht="15">
      <c r="G1568" s="105"/>
    </row>
    <row r="1569" ht="15">
      <c r="G1569" s="105"/>
    </row>
    <row r="1570" ht="15">
      <c r="G1570" s="105"/>
    </row>
    <row r="1571" ht="15">
      <c r="G1571" s="105"/>
    </row>
    <row r="1572" ht="15">
      <c r="G1572" s="105"/>
    </row>
    <row r="1573" ht="15">
      <c r="G1573" s="105"/>
    </row>
    <row r="1574" ht="15">
      <c r="G1574" s="105"/>
    </row>
    <row r="1575" ht="15">
      <c r="G1575" s="105"/>
    </row>
    <row r="1576" ht="15">
      <c r="G1576" s="105"/>
    </row>
    <row r="1577" ht="15">
      <c r="G1577" s="105"/>
    </row>
    <row r="1578" ht="15">
      <c r="G1578" s="105"/>
    </row>
    <row r="1579" ht="15">
      <c r="G1579" s="105"/>
    </row>
    <row r="1580" ht="15">
      <c r="G1580" s="105"/>
    </row>
    <row r="1581" ht="15">
      <c r="G1581" s="105"/>
    </row>
    <row r="1582" ht="15">
      <c r="G1582" s="105"/>
    </row>
    <row r="1752" ht="18" customHeight="1"/>
    <row r="1759" ht="30" customHeight="1"/>
    <row r="1775" ht="30" customHeight="1"/>
    <row r="1783" spans="10:17" ht="15">
      <c r="J1783" s="117"/>
      <c r="K1783" s="117"/>
      <c r="L1783" s="33"/>
      <c r="M1783" s="33"/>
      <c r="N1783" s="33"/>
      <c r="O1783" s="33"/>
      <c r="P1783" s="33"/>
      <c r="Q1783" s="33"/>
    </row>
    <row r="1784" spans="10:17" ht="15">
      <c r="J1784" s="117"/>
      <c r="K1784" s="117"/>
      <c r="L1784" s="33"/>
      <c r="M1784" s="33"/>
      <c r="N1784" s="33"/>
      <c r="O1784" s="33"/>
      <c r="P1784" s="33"/>
      <c r="Q1784" s="33"/>
    </row>
    <row r="1785" ht="49.5" customHeight="1"/>
    <row r="1791" ht="15">
      <c r="J1791" s="63">
        <f>G1205+G1214+G1219+G1224+G1229+G1234+G1239+G1244+G1249+G1254+G1257+G1261+G1264+G1267+G1272+G1277+G1283+G1293+G1298+G1307+G1321+G1324</f>
        <v>51050.100000000006</v>
      </c>
    </row>
  </sheetData>
  <sheetProtection/>
  <mergeCells count="2">
    <mergeCell ref="A12:G12"/>
    <mergeCell ref="A13:G13"/>
  </mergeCells>
  <printOptions/>
  <pageMargins left="0.7480314960629921" right="0.7480314960629921" top="0.6692913385826772" bottom="0.5118110236220472" header="0.5118110236220472" footer="0.5118110236220472"/>
  <pageSetup firstPageNumber="54" useFirstPageNumber="1" fitToHeight="36" fitToWidth="1" horizontalDpi="600" verticalDpi="600" orientation="portrait" paperSize="9" scale="79" r:id="rId3"/>
  <headerFooter alignWithMargins="0">
    <oddFooter>&amp;R&amp;P</oddFooter>
  </headerFooter>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229"/>
  <sheetViews>
    <sheetView tabSelected="1" view="pageBreakPreview" zoomScaleSheetLayoutView="100" workbookViewId="0" topLeftCell="A1">
      <selection activeCell="B3" sqref="B3"/>
    </sheetView>
  </sheetViews>
  <sheetFormatPr defaultColWidth="9.50390625" defaultRowHeight="12.75"/>
  <cols>
    <col min="1" max="1" width="50.50390625" style="6" customWidth="1"/>
    <col min="2" max="2" width="12.125" style="103" customWidth="1"/>
    <col min="3" max="3" width="5.50390625" style="103" customWidth="1"/>
    <col min="4" max="4" width="20.50390625" style="8" customWidth="1"/>
    <col min="5" max="5" width="13.50390625" style="63" customWidth="1"/>
    <col min="6" max="6" width="14.00390625" style="63" customWidth="1"/>
    <col min="7" max="7" width="15.50390625" style="30" customWidth="1"/>
    <col min="8" max="8" width="12.125" style="30" customWidth="1"/>
    <col min="9" max="9" width="9.50390625" style="30" customWidth="1"/>
    <col min="10" max="10" width="12.50390625" style="30" customWidth="1"/>
    <col min="11" max="11" width="9.50390625" style="30" customWidth="1"/>
    <col min="12" max="12" width="12.00390625" style="30" customWidth="1"/>
    <col min="13" max="15" width="9.50390625" style="30" customWidth="1"/>
    <col min="16" max="16384" width="9.50390625" style="10" customWidth="1"/>
  </cols>
  <sheetData>
    <row r="1" ht="15">
      <c r="B1" s="81" t="s">
        <v>967</v>
      </c>
    </row>
    <row r="2" ht="15">
      <c r="B2" s="9" t="s">
        <v>31</v>
      </c>
    </row>
    <row r="3" ht="15">
      <c r="B3" s="41" t="s">
        <v>1817</v>
      </c>
    </row>
    <row r="5" spans="2:4" ht="15">
      <c r="B5" s="81" t="s">
        <v>793</v>
      </c>
      <c r="D5" s="10"/>
    </row>
    <row r="6" spans="2:3" ht="15">
      <c r="B6" s="9" t="s">
        <v>31</v>
      </c>
      <c r="C6" s="7"/>
    </row>
    <row r="7" spans="2:3" ht="15">
      <c r="B7" s="41" t="s">
        <v>1518</v>
      </c>
      <c r="C7" s="7"/>
    </row>
    <row r="8" spans="2:3" ht="15">
      <c r="B8" s="9"/>
      <c r="C8" s="7"/>
    </row>
    <row r="9" spans="2:17" ht="15.75" customHeight="1">
      <c r="B9" s="81"/>
      <c r="C9" s="7"/>
      <c r="P9" s="30"/>
      <c r="Q9" s="30"/>
    </row>
    <row r="10" spans="2:17" ht="13.5" customHeight="1">
      <c r="B10" s="41"/>
      <c r="C10" s="107"/>
      <c r="D10" s="107"/>
      <c r="P10" s="30"/>
      <c r="Q10" s="30"/>
    </row>
    <row r="11" spans="2:17" ht="12.75" customHeight="1">
      <c r="B11" s="41"/>
      <c r="C11" s="41"/>
      <c r="D11" s="41"/>
      <c r="P11" s="30"/>
      <c r="Q11" s="30"/>
    </row>
    <row r="12" spans="1:17" ht="21.75" customHeight="1">
      <c r="A12" s="353" t="s">
        <v>1342</v>
      </c>
      <c r="B12" s="353"/>
      <c r="C12" s="353"/>
      <c r="D12" s="353"/>
      <c r="P12" s="30"/>
      <c r="Q12" s="30"/>
    </row>
    <row r="13" spans="1:17" ht="17.25" customHeight="1">
      <c r="A13" s="353" t="s">
        <v>594</v>
      </c>
      <c r="B13" s="353"/>
      <c r="C13" s="353"/>
      <c r="D13" s="353"/>
      <c r="P13" s="30"/>
      <c r="Q13" s="30"/>
    </row>
    <row r="14" spans="1:17" ht="15.75" customHeight="1">
      <c r="A14" s="353"/>
      <c r="B14" s="353"/>
      <c r="C14" s="353"/>
      <c r="D14" s="353"/>
      <c r="P14" s="30"/>
      <c r="Q14" s="30"/>
    </row>
    <row r="15" spans="1:17" ht="0.75" customHeight="1">
      <c r="A15" s="353"/>
      <c r="B15" s="353"/>
      <c r="C15" s="353"/>
      <c r="D15" s="353"/>
      <c r="P15" s="30"/>
      <c r="Q15" s="30"/>
    </row>
    <row r="16" spans="1:17" ht="15">
      <c r="A16" s="353"/>
      <c r="B16" s="353"/>
      <c r="C16" s="353"/>
      <c r="D16" s="353"/>
      <c r="E16" s="116"/>
      <c r="P16" s="30"/>
      <c r="Q16" s="30"/>
    </row>
    <row r="17" spans="1:17" ht="22.5" customHeight="1">
      <c r="A17" s="10"/>
      <c r="B17" s="104"/>
      <c r="C17" s="104"/>
      <c r="D17" s="93" t="s">
        <v>19</v>
      </c>
      <c r="E17" s="118"/>
      <c r="P17" s="30"/>
      <c r="Q17" s="30"/>
    </row>
    <row r="18" spans="1:17" s="13" customFormat="1" ht="39.75" customHeight="1">
      <c r="A18" s="222" t="s">
        <v>458</v>
      </c>
      <c r="B18" s="223" t="s">
        <v>1143</v>
      </c>
      <c r="C18" s="223" t="s">
        <v>1144</v>
      </c>
      <c r="D18" s="224" t="s">
        <v>1517</v>
      </c>
      <c r="E18" s="118"/>
      <c r="F18" s="116"/>
      <c r="G18" s="31"/>
      <c r="H18" s="31"/>
      <c r="I18" s="31"/>
      <c r="J18" s="31"/>
      <c r="K18" s="31"/>
      <c r="L18" s="31"/>
      <c r="M18" s="31"/>
      <c r="N18" s="31"/>
      <c r="O18" s="31"/>
      <c r="P18" s="31"/>
      <c r="Q18" s="31"/>
    </row>
    <row r="19" spans="1:17" ht="30.75" customHeight="1">
      <c r="A19" s="225" t="s">
        <v>1360</v>
      </c>
      <c r="B19" s="226" t="s">
        <v>361</v>
      </c>
      <c r="C19" s="226"/>
      <c r="D19" s="227">
        <f>D20+D24+D34+D39+D49+D59+D76+D106</f>
        <v>463994.3</v>
      </c>
      <c r="E19" s="118">
        <f>D91+D100</f>
        <v>24000</v>
      </c>
      <c r="F19" s="63" t="e">
        <f>D61+D83+D94+D122+D129+D132+D135+D146+D154+D158+D169+D173+D176+D185+D201+D218+D247+D387+D416+D431+D434+D445+D448+D487+D572+D633+D639+D644+D653+D689+D696+#REF!+D726+D753+D785+D824+D827+D835+D848+D851+D854+D857+D860+D866+D899+D904+D942+D1099+D1114+D1149+D1183+D1186</f>
        <v>#REF!</v>
      </c>
      <c r="G19" s="319" t="s">
        <v>1708</v>
      </c>
      <c r="H19" s="32"/>
      <c r="I19" s="86"/>
      <c r="J19" s="32"/>
      <c r="L19" s="63"/>
      <c r="P19" s="30"/>
      <c r="Q19" s="30"/>
    </row>
    <row r="20" spans="1:17" ht="51" customHeight="1">
      <c r="A20" s="214" t="s">
        <v>1022</v>
      </c>
      <c r="B20" s="147" t="s">
        <v>1023</v>
      </c>
      <c r="C20" s="147"/>
      <c r="D20" s="154">
        <f>D21</f>
        <v>0</v>
      </c>
      <c r="E20" s="118">
        <f>D19-E19</f>
        <v>439994.3</v>
      </c>
      <c r="G20" s="32"/>
      <c r="H20" s="32"/>
      <c r="I20" s="86"/>
      <c r="P20" s="30"/>
      <c r="Q20" s="30"/>
    </row>
    <row r="21" spans="1:17" ht="29.25" customHeight="1">
      <c r="A21" s="157" t="s">
        <v>1025</v>
      </c>
      <c r="B21" s="147" t="s">
        <v>1024</v>
      </c>
      <c r="C21" s="147"/>
      <c r="D21" s="154">
        <f>D22</f>
        <v>0</v>
      </c>
      <c r="E21" s="118"/>
      <c r="G21" s="32"/>
      <c r="H21" s="32"/>
      <c r="I21" s="86"/>
      <c r="P21" s="30"/>
      <c r="Q21" s="30"/>
    </row>
    <row r="22" spans="1:17" ht="24">
      <c r="A22" s="153" t="s">
        <v>1066</v>
      </c>
      <c r="B22" s="147" t="s">
        <v>1024</v>
      </c>
      <c r="C22" s="147" t="s">
        <v>529</v>
      </c>
      <c r="D22" s="154">
        <f>D23</f>
        <v>0</v>
      </c>
      <c r="E22" s="118"/>
      <c r="G22" s="32"/>
      <c r="H22" s="32"/>
      <c r="I22" s="86"/>
      <c r="P22" s="30"/>
      <c r="Q22" s="30"/>
    </row>
    <row r="23" spans="1:17" ht="15">
      <c r="A23" s="153" t="s">
        <v>974</v>
      </c>
      <c r="B23" s="147" t="s">
        <v>1024</v>
      </c>
      <c r="C23" s="147" t="s">
        <v>429</v>
      </c>
      <c r="D23" s="154"/>
      <c r="E23" s="118"/>
      <c r="G23" s="32"/>
      <c r="H23" s="32"/>
      <c r="I23" s="86"/>
      <c r="P23" s="30"/>
      <c r="Q23" s="30"/>
    </row>
    <row r="24" spans="1:17" ht="22.5">
      <c r="A24" s="258" t="s">
        <v>1026</v>
      </c>
      <c r="B24" s="147" t="s">
        <v>1178</v>
      </c>
      <c r="C24" s="147"/>
      <c r="D24" s="154">
        <f>D25+D28+D31</f>
        <v>6633</v>
      </c>
      <c r="E24" s="118"/>
      <c r="G24" s="32"/>
      <c r="H24" s="32"/>
      <c r="I24" s="86"/>
      <c r="P24" s="30"/>
      <c r="Q24" s="30"/>
    </row>
    <row r="25" spans="1:17" ht="24">
      <c r="A25" s="326" t="s">
        <v>1762</v>
      </c>
      <c r="B25" s="147" t="s">
        <v>1763</v>
      </c>
      <c r="C25" s="147"/>
      <c r="D25" s="158">
        <f>D26</f>
        <v>44</v>
      </c>
      <c r="E25" s="118"/>
      <c r="G25" s="32"/>
      <c r="H25" s="32"/>
      <c r="I25" s="86"/>
      <c r="P25" s="30"/>
      <c r="Q25" s="30"/>
    </row>
    <row r="26" spans="1:17" ht="24">
      <c r="A26" s="152" t="s">
        <v>490</v>
      </c>
      <c r="B26" s="147" t="s">
        <v>1763</v>
      </c>
      <c r="C26" s="147" t="s">
        <v>489</v>
      </c>
      <c r="D26" s="158">
        <f>D27</f>
        <v>44</v>
      </c>
      <c r="E26" s="118"/>
      <c r="G26" s="32"/>
      <c r="H26" s="32"/>
      <c r="I26" s="86"/>
      <c r="P26" s="30"/>
      <c r="Q26" s="30"/>
    </row>
    <row r="27" spans="1:17" ht="15">
      <c r="A27" s="157" t="s">
        <v>371</v>
      </c>
      <c r="B27" s="147" t="s">
        <v>1763</v>
      </c>
      <c r="C27" s="147" t="s">
        <v>574</v>
      </c>
      <c r="D27" s="158">
        <v>44</v>
      </c>
      <c r="E27" s="118"/>
      <c r="G27" s="32"/>
      <c r="H27" s="32"/>
      <c r="I27" s="86"/>
      <c r="P27" s="30"/>
      <c r="Q27" s="30"/>
    </row>
    <row r="28" spans="1:17" ht="24">
      <c r="A28" s="326" t="s">
        <v>1798</v>
      </c>
      <c r="B28" s="147" t="s">
        <v>1801</v>
      </c>
      <c r="C28" s="147"/>
      <c r="D28" s="155">
        <f>D29</f>
        <v>7</v>
      </c>
      <c r="E28" s="118"/>
      <c r="G28" s="32"/>
      <c r="H28" s="32"/>
      <c r="I28" s="86"/>
      <c r="P28" s="30"/>
      <c r="Q28" s="30"/>
    </row>
    <row r="29" spans="1:17" ht="24">
      <c r="A29" s="152" t="s">
        <v>490</v>
      </c>
      <c r="B29" s="147" t="s">
        <v>1801</v>
      </c>
      <c r="C29" s="147" t="s">
        <v>489</v>
      </c>
      <c r="D29" s="325">
        <f>D30</f>
        <v>7</v>
      </c>
      <c r="E29" s="118"/>
      <c r="G29" s="32"/>
      <c r="H29" s="32"/>
      <c r="I29" s="86"/>
      <c r="P29" s="30"/>
      <c r="Q29" s="30"/>
    </row>
    <row r="30" spans="1:17" ht="15">
      <c r="A30" s="157" t="s">
        <v>371</v>
      </c>
      <c r="B30" s="147" t="s">
        <v>1801</v>
      </c>
      <c r="C30" s="147" t="s">
        <v>574</v>
      </c>
      <c r="D30" s="158">
        <v>7</v>
      </c>
      <c r="E30" s="118"/>
      <c r="G30" s="32"/>
      <c r="H30" s="32"/>
      <c r="I30" s="86"/>
      <c r="P30" s="30"/>
      <c r="Q30" s="30"/>
    </row>
    <row r="31" spans="1:17" ht="15">
      <c r="A31" s="252" t="s">
        <v>1034</v>
      </c>
      <c r="B31" s="147" t="s">
        <v>1174</v>
      </c>
      <c r="C31" s="147"/>
      <c r="D31" s="154">
        <f>D32</f>
        <v>6582</v>
      </c>
      <c r="E31" s="118"/>
      <c r="G31" s="32"/>
      <c r="H31" s="32"/>
      <c r="I31" s="86"/>
      <c r="P31" s="30"/>
      <c r="Q31" s="30"/>
    </row>
    <row r="32" spans="1:17" ht="24">
      <c r="A32" s="152" t="s">
        <v>490</v>
      </c>
      <c r="B32" s="147" t="s">
        <v>1174</v>
      </c>
      <c r="C32" s="147" t="s">
        <v>489</v>
      </c>
      <c r="D32" s="154">
        <f>D33</f>
        <v>6582</v>
      </c>
      <c r="E32" s="118"/>
      <c r="G32" s="32"/>
      <c r="H32" s="32"/>
      <c r="I32" s="86"/>
      <c r="P32" s="30"/>
      <c r="Q32" s="30"/>
    </row>
    <row r="33" spans="1:17" ht="15">
      <c r="A33" s="157" t="s">
        <v>371</v>
      </c>
      <c r="B33" s="147" t="s">
        <v>1174</v>
      </c>
      <c r="C33" s="147" t="s">
        <v>574</v>
      </c>
      <c r="D33" s="154">
        <f>6373+50-34+200-7</f>
        <v>6582</v>
      </c>
      <c r="E33" s="118"/>
      <c r="G33" s="32"/>
      <c r="H33" s="32"/>
      <c r="I33" s="86"/>
      <c r="P33" s="30"/>
      <c r="Q33" s="30"/>
    </row>
    <row r="34" spans="1:17" ht="22.5">
      <c r="A34" s="162" t="s">
        <v>1028</v>
      </c>
      <c r="B34" s="147" t="s">
        <v>1029</v>
      </c>
      <c r="C34" s="147"/>
      <c r="D34" s="154">
        <f>D35</f>
        <v>12936.6</v>
      </c>
      <c r="E34" s="118"/>
      <c r="G34" s="32"/>
      <c r="H34" s="32"/>
      <c r="I34" s="86"/>
      <c r="P34" s="30"/>
      <c r="Q34" s="30"/>
    </row>
    <row r="35" spans="1:17" ht="24">
      <c r="A35" s="157" t="s">
        <v>1035</v>
      </c>
      <c r="B35" s="147" t="s">
        <v>1031</v>
      </c>
      <c r="C35" s="147"/>
      <c r="D35" s="154">
        <f>D36</f>
        <v>12936.6</v>
      </c>
      <c r="E35" s="118"/>
      <c r="G35" s="32"/>
      <c r="H35" s="32"/>
      <c r="I35" s="86"/>
      <c r="P35" s="30"/>
      <c r="Q35" s="30"/>
    </row>
    <row r="36" spans="1:17" ht="24">
      <c r="A36" s="152" t="s">
        <v>490</v>
      </c>
      <c r="B36" s="147" t="s">
        <v>1031</v>
      </c>
      <c r="C36" s="147" t="s">
        <v>489</v>
      </c>
      <c r="D36" s="154">
        <f>D37+D38</f>
        <v>12936.6</v>
      </c>
      <c r="E36" s="118"/>
      <c r="G36" s="32"/>
      <c r="H36" s="32"/>
      <c r="I36" s="86"/>
      <c r="P36" s="30"/>
      <c r="Q36" s="30"/>
    </row>
    <row r="37" spans="1:17" ht="15">
      <c r="A37" s="157" t="s">
        <v>371</v>
      </c>
      <c r="B37" s="147" t="s">
        <v>1031</v>
      </c>
      <c r="C37" s="147" t="s">
        <v>574</v>
      </c>
      <c r="D37" s="154">
        <f>5000+7600-100-50+90</f>
        <v>12540</v>
      </c>
      <c r="E37" s="118"/>
      <c r="G37" s="32"/>
      <c r="H37" s="32"/>
      <c r="I37" s="86"/>
      <c r="P37" s="30"/>
      <c r="Q37" s="30"/>
    </row>
    <row r="38" spans="1:17" ht="15">
      <c r="A38" s="157" t="s">
        <v>1125</v>
      </c>
      <c r="B38" s="147" t="s">
        <v>1031</v>
      </c>
      <c r="C38" s="147" t="s">
        <v>1126</v>
      </c>
      <c r="D38" s="154">
        <f>100+50+246.6</f>
        <v>396.6</v>
      </c>
      <c r="E38" s="118"/>
      <c r="G38" s="32"/>
      <c r="H38" s="32"/>
      <c r="I38" s="86"/>
      <c r="P38" s="30"/>
      <c r="Q38" s="30"/>
    </row>
    <row r="39" spans="1:17" ht="22.5">
      <c r="A39" s="162" t="s">
        <v>1030</v>
      </c>
      <c r="B39" s="147" t="s">
        <v>1033</v>
      </c>
      <c r="C39" s="147"/>
      <c r="D39" s="154">
        <f>D40+D43+D46</f>
        <v>232053</v>
      </c>
      <c r="E39" s="118"/>
      <c r="G39" s="32"/>
      <c r="H39" s="32"/>
      <c r="I39" s="86"/>
      <c r="P39" s="30"/>
      <c r="Q39" s="30"/>
    </row>
    <row r="40" spans="1:17" ht="24">
      <c r="A40" s="326" t="s">
        <v>1762</v>
      </c>
      <c r="B40" s="147" t="s">
        <v>1764</v>
      </c>
      <c r="C40" s="147"/>
      <c r="D40" s="158">
        <f>D41</f>
        <v>2254</v>
      </c>
      <c r="E40" s="118"/>
      <c r="G40" s="32"/>
      <c r="H40" s="32"/>
      <c r="I40" s="86"/>
      <c r="P40" s="30"/>
      <c r="Q40" s="30"/>
    </row>
    <row r="41" spans="1:17" ht="24">
      <c r="A41" s="152" t="s">
        <v>490</v>
      </c>
      <c r="B41" s="147" t="s">
        <v>1764</v>
      </c>
      <c r="C41" s="147" t="s">
        <v>489</v>
      </c>
      <c r="D41" s="158">
        <f>D42</f>
        <v>2254</v>
      </c>
      <c r="E41" s="118"/>
      <c r="G41" s="32"/>
      <c r="H41" s="32"/>
      <c r="I41" s="86"/>
      <c r="P41" s="30"/>
      <c r="Q41" s="30"/>
    </row>
    <row r="42" spans="1:17" ht="15">
      <c r="A42" s="157" t="s">
        <v>371</v>
      </c>
      <c r="B42" s="147" t="s">
        <v>1764</v>
      </c>
      <c r="C42" s="147" t="s">
        <v>574</v>
      </c>
      <c r="D42" s="158">
        <v>2254</v>
      </c>
      <c r="E42" s="118"/>
      <c r="G42" s="32"/>
      <c r="H42" s="32"/>
      <c r="I42" s="86"/>
      <c r="P42" s="30"/>
      <c r="Q42" s="30"/>
    </row>
    <row r="43" spans="1:17" ht="24">
      <c r="A43" s="326" t="s">
        <v>1798</v>
      </c>
      <c r="B43" s="147" t="s">
        <v>1799</v>
      </c>
      <c r="C43" s="147"/>
      <c r="D43" s="155">
        <f>D44</f>
        <v>338</v>
      </c>
      <c r="E43" s="118"/>
      <c r="G43" s="32"/>
      <c r="H43" s="32"/>
      <c r="I43" s="86"/>
      <c r="P43" s="30"/>
      <c r="Q43" s="30"/>
    </row>
    <row r="44" spans="1:17" ht="24">
      <c r="A44" s="152" t="s">
        <v>490</v>
      </c>
      <c r="B44" s="147" t="s">
        <v>1799</v>
      </c>
      <c r="C44" s="147" t="s">
        <v>489</v>
      </c>
      <c r="D44" s="155">
        <f>D45</f>
        <v>338</v>
      </c>
      <c r="E44" s="118"/>
      <c r="G44" s="32"/>
      <c r="H44" s="32"/>
      <c r="I44" s="86"/>
      <c r="P44" s="30"/>
      <c r="Q44" s="30"/>
    </row>
    <row r="45" spans="1:17" ht="15">
      <c r="A45" s="157" t="s">
        <v>371</v>
      </c>
      <c r="B45" s="147" t="s">
        <v>1799</v>
      </c>
      <c r="C45" s="147" t="s">
        <v>574</v>
      </c>
      <c r="D45" s="158">
        <v>338</v>
      </c>
      <c r="E45" s="118"/>
      <c r="G45" s="32"/>
      <c r="H45" s="32"/>
      <c r="I45" s="86"/>
      <c r="P45" s="30"/>
      <c r="Q45" s="30"/>
    </row>
    <row r="46" spans="1:17" ht="24">
      <c r="A46" s="157" t="s">
        <v>1036</v>
      </c>
      <c r="B46" s="147" t="s">
        <v>1032</v>
      </c>
      <c r="C46" s="147"/>
      <c r="D46" s="154">
        <f>D47</f>
        <v>229461</v>
      </c>
      <c r="E46" s="118"/>
      <c r="G46" s="32"/>
      <c r="H46" s="32"/>
      <c r="I46" s="86"/>
      <c r="P46" s="30"/>
      <c r="Q46" s="30"/>
    </row>
    <row r="47" spans="1:17" ht="24">
      <c r="A47" s="152" t="s">
        <v>490</v>
      </c>
      <c r="B47" s="147" t="s">
        <v>1032</v>
      </c>
      <c r="C47" s="147" t="s">
        <v>489</v>
      </c>
      <c r="D47" s="154">
        <f>D48</f>
        <v>229461</v>
      </c>
      <c r="E47" s="118"/>
      <c r="G47" s="32"/>
      <c r="H47" s="32"/>
      <c r="I47" s="86"/>
      <c r="P47" s="30"/>
      <c r="Q47" s="30"/>
    </row>
    <row r="48" spans="1:17" ht="15">
      <c r="A48" s="157" t="s">
        <v>371</v>
      </c>
      <c r="B48" s="147" t="s">
        <v>1032</v>
      </c>
      <c r="C48" s="147" t="s">
        <v>574</v>
      </c>
      <c r="D48" s="154">
        <f>224698-200+1000-1534+90+5745-338</f>
        <v>229461</v>
      </c>
      <c r="E48" s="118"/>
      <c r="G48" s="32"/>
      <c r="H48" s="32"/>
      <c r="I48" s="86"/>
      <c r="P48" s="30"/>
      <c r="Q48" s="30"/>
    </row>
    <row r="49" spans="1:17" ht="22.5">
      <c r="A49" s="162" t="s">
        <v>350</v>
      </c>
      <c r="B49" s="147" t="s">
        <v>1176</v>
      </c>
      <c r="C49" s="147"/>
      <c r="D49" s="154">
        <f>D50+D53+D56</f>
        <v>46473.7</v>
      </c>
      <c r="E49" s="118"/>
      <c r="G49" s="32"/>
      <c r="H49" s="32"/>
      <c r="I49" s="86"/>
      <c r="P49" s="30"/>
      <c r="Q49" s="30"/>
    </row>
    <row r="50" spans="1:17" ht="24">
      <c r="A50" s="326" t="s">
        <v>1762</v>
      </c>
      <c r="B50" s="147" t="s">
        <v>1765</v>
      </c>
      <c r="C50" s="147"/>
      <c r="D50" s="158">
        <f>D51</f>
        <v>407</v>
      </c>
      <c r="E50" s="118"/>
      <c r="G50" s="32"/>
      <c r="H50" s="32"/>
      <c r="I50" s="86"/>
      <c r="P50" s="30"/>
      <c r="Q50" s="30"/>
    </row>
    <row r="51" spans="1:17" ht="24">
      <c r="A51" s="152" t="s">
        <v>490</v>
      </c>
      <c r="B51" s="147" t="s">
        <v>1765</v>
      </c>
      <c r="C51" s="147" t="s">
        <v>489</v>
      </c>
      <c r="D51" s="158">
        <f>D52</f>
        <v>407</v>
      </c>
      <c r="E51" s="118"/>
      <c r="G51" s="32"/>
      <c r="H51" s="32"/>
      <c r="I51" s="86"/>
      <c r="P51" s="30"/>
      <c r="Q51" s="30"/>
    </row>
    <row r="52" spans="1:17" ht="15">
      <c r="A52" s="157" t="s">
        <v>1125</v>
      </c>
      <c r="B52" s="147" t="s">
        <v>1765</v>
      </c>
      <c r="C52" s="147" t="s">
        <v>1126</v>
      </c>
      <c r="D52" s="158">
        <v>407</v>
      </c>
      <c r="E52" s="118"/>
      <c r="G52" s="32"/>
      <c r="H52" s="32"/>
      <c r="I52" s="86"/>
      <c r="P52" s="30"/>
      <c r="Q52" s="30"/>
    </row>
    <row r="53" spans="1:17" ht="24">
      <c r="A53" s="326" t="s">
        <v>1798</v>
      </c>
      <c r="B53" s="147" t="s">
        <v>1802</v>
      </c>
      <c r="C53" s="147"/>
      <c r="D53" s="155">
        <f>D54</f>
        <v>61</v>
      </c>
      <c r="E53" s="118"/>
      <c r="G53" s="32"/>
      <c r="H53" s="32"/>
      <c r="I53" s="86"/>
      <c r="P53" s="30"/>
      <c r="Q53" s="30"/>
    </row>
    <row r="54" spans="1:17" ht="24">
      <c r="A54" s="152" t="s">
        <v>490</v>
      </c>
      <c r="B54" s="147" t="s">
        <v>1802</v>
      </c>
      <c r="C54" s="147" t="s">
        <v>489</v>
      </c>
      <c r="D54" s="155">
        <f>D55</f>
        <v>61</v>
      </c>
      <c r="E54" s="118"/>
      <c r="G54" s="32"/>
      <c r="H54" s="32"/>
      <c r="I54" s="86"/>
      <c r="P54" s="30"/>
      <c r="Q54" s="30"/>
    </row>
    <row r="55" spans="1:17" ht="15">
      <c r="A55" s="157" t="s">
        <v>1125</v>
      </c>
      <c r="B55" s="147" t="s">
        <v>1802</v>
      </c>
      <c r="C55" s="147" t="s">
        <v>1126</v>
      </c>
      <c r="D55" s="158">
        <v>61</v>
      </c>
      <c r="E55" s="118"/>
      <c r="G55" s="32"/>
      <c r="H55" s="32"/>
      <c r="I55" s="86"/>
      <c r="P55" s="30"/>
      <c r="Q55" s="30"/>
    </row>
    <row r="56" spans="1:17" ht="15">
      <c r="A56" s="157" t="s">
        <v>351</v>
      </c>
      <c r="B56" s="147" t="s">
        <v>1175</v>
      </c>
      <c r="C56" s="147"/>
      <c r="D56" s="154">
        <f>D57</f>
        <v>46005.7</v>
      </c>
      <c r="E56" s="118"/>
      <c r="G56" s="32"/>
      <c r="H56" s="32"/>
      <c r="I56" s="86"/>
      <c r="P56" s="30"/>
      <c r="Q56" s="30"/>
    </row>
    <row r="57" spans="1:17" ht="24">
      <c r="A57" s="152" t="s">
        <v>490</v>
      </c>
      <c r="B57" s="147" t="s">
        <v>1175</v>
      </c>
      <c r="C57" s="147" t="s">
        <v>489</v>
      </c>
      <c r="D57" s="154">
        <f>D58</f>
        <v>46005.7</v>
      </c>
      <c r="E57" s="118"/>
      <c r="G57" s="32"/>
      <c r="H57" s="32"/>
      <c r="I57" s="86"/>
      <c r="P57" s="30"/>
      <c r="Q57" s="30"/>
    </row>
    <row r="58" spans="1:17" ht="15">
      <c r="A58" s="157" t="s">
        <v>1125</v>
      </c>
      <c r="B58" s="147" t="s">
        <v>1175</v>
      </c>
      <c r="C58" s="147" t="s">
        <v>1126</v>
      </c>
      <c r="D58" s="154">
        <f>43571-249+545-1060.3+3000+260-61</f>
        <v>46005.7</v>
      </c>
      <c r="E58" s="118"/>
      <c r="G58" s="32"/>
      <c r="H58" s="32"/>
      <c r="I58" s="86"/>
      <c r="P58" s="30"/>
      <c r="Q58" s="30"/>
    </row>
    <row r="59" spans="1:17" ht="24">
      <c r="A59" s="259" t="s">
        <v>1324</v>
      </c>
      <c r="B59" s="228" t="s">
        <v>354</v>
      </c>
      <c r="C59" s="228"/>
      <c r="D59" s="154">
        <f>D60</f>
        <v>61539.7</v>
      </c>
      <c r="E59" s="118"/>
      <c r="G59" s="32"/>
      <c r="H59" s="32"/>
      <c r="I59" s="86"/>
      <c r="P59" s="30"/>
      <c r="Q59" s="30"/>
    </row>
    <row r="60" spans="1:17" ht="33.75">
      <c r="A60" s="162" t="s">
        <v>352</v>
      </c>
      <c r="B60" s="147" t="s">
        <v>355</v>
      </c>
      <c r="C60" s="147"/>
      <c r="D60" s="154">
        <f>D61+D64+D67+D70</f>
        <v>61539.7</v>
      </c>
      <c r="E60" s="118"/>
      <c r="G60" s="32"/>
      <c r="H60" s="32"/>
      <c r="I60" s="86"/>
      <c r="P60" s="30"/>
      <c r="Q60" s="30"/>
    </row>
    <row r="61" spans="1:17" ht="36">
      <c r="A61" s="152" t="s">
        <v>1263</v>
      </c>
      <c r="B61" s="147" t="s">
        <v>1264</v>
      </c>
      <c r="C61" s="147"/>
      <c r="D61" s="154">
        <f>D62</f>
        <v>0</v>
      </c>
      <c r="E61" s="118"/>
      <c r="G61" s="32"/>
      <c r="H61" s="32"/>
      <c r="I61" s="86"/>
      <c r="P61" s="30"/>
      <c r="Q61" s="30"/>
    </row>
    <row r="62" spans="1:17" ht="24">
      <c r="A62" s="152" t="s">
        <v>490</v>
      </c>
      <c r="B62" s="147" t="s">
        <v>1264</v>
      </c>
      <c r="C62" s="147" t="s">
        <v>489</v>
      </c>
      <c r="D62" s="154">
        <f>D63</f>
        <v>0</v>
      </c>
      <c r="E62" s="118"/>
      <c r="G62" s="32"/>
      <c r="H62" s="32"/>
      <c r="I62" s="86"/>
      <c r="P62" s="30"/>
      <c r="Q62" s="30"/>
    </row>
    <row r="63" spans="1:17" ht="15">
      <c r="A63" s="157" t="s">
        <v>371</v>
      </c>
      <c r="B63" s="147" t="s">
        <v>1264</v>
      </c>
      <c r="C63" s="147" t="s">
        <v>574</v>
      </c>
      <c r="D63" s="154"/>
      <c r="E63" s="118"/>
      <c r="G63" s="32"/>
      <c r="H63" s="32"/>
      <c r="I63" s="86"/>
      <c r="P63" s="30"/>
      <c r="Q63" s="30"/>
    </row>
    <row r="64" spans="1:17" ht="24">
      <c r="A64" s="326" t="s">
        <v>1762</v>
      </c>
      <c r="B64" s="147" t="s">
        <v>1766</v>
      </c>
      <c r="C64" s="147"/>
      <c r="D64" s="158">
        <f>D65</f>
        <v>498</v>
      </c>
      <c r="E64" s="118"/>
      <c r="G64" s="32"/>
      <c r="H64" s="32"/>
      <c r="I64" s="86"/>
      <c r="P64" s="30"/>
      <c r="Q64" s="30"/>
    </row>
    <row r="65" spans="1:17" ht="24">
      <c r="A65" s="152" t="s">
        <v>490</v>
      </c>
      <c r="B65" s="147" t="s">
        <v>1766</v>
      </c>
      <c r="C65" s="147" t="s">
        <v>489</v>
      </c>
      <c r="D65" s="158">
        <f>D66</f>
        <v>498</v>
      </c>
      <c r="E65" s="118"/>
      <c r="G65" s="32"/>
      <c r="H65" s="32"/>
      <c r="I65" s="86"/>
      <c r="P65" s="30"/>
      <c r="Q65" s="30"/>
    </row>
    <row r="66" spans="1:17" ht="15">
      <c r="A66" s="157" t="s">
        <v>371</v>
      </c>
      <c r="B66" s="147" t="s">
        <v>1766</v>
      </c>
      <c r="C66" s="147" t="s">
        <v>574</v>
      </c>
      <c r="D66" s="158">
        <v>498</v>
      </c>
      <c r="E66" s="118"/>
      <c r="G66" s="32"/>
      <c r="H66" s="32"/>
      <c r="I66" s="86"/>
      <c r="P66" s="30"/>
      <c r="Q66" s="30"/>
    </row>
    <row r="67" spans="1:17" ht="24">
      <c r="A67" s="326" t="s">
        <v>1798</v>
      </c>
      <c r="B67" s="147" t="s">
        <v>1800</v>
      </c>
      <c r="C67" s="147"/>
      <c r="D67" s="325">
        <f>D68</f>
        <v>75</v>
      </c>
      <c r="E67" s="118"/>
      <c r="G67" s="32"/>
      <c r="H67" s="32"/>
      <c r="I67" s="86"/>
      <c r="P67" s="30"/>
      <c r="Q67" s="30"/>
    </row>
    <row r="68" spans="1:17" ht="24">
      <c r="A68" s="152" t="s">
        <v>490</v>
      </c>
      <c r="B68" s="147" t="s">
        <v>1800</v>
      </c>
      <c r="C68" s="147" t="s">
        <v>489</v>
      </c>
      <c r="D68" s="325">
        <f>D69</f>
        <v>75</v>
      </c>
      <c r="E68" s="118"/>
      <c r="G68" s="32"/>
      <c r="H68" s="32"/>
      <c r="I68" s="86"/>
      <c r="P68" s="30"/>
      <c r="Q68" s="30"/>
    </row>
    <row r="69" spans="1:17" ht="15">
      <c r="A69" s="157" t="s">
        <v>371</v>
      </c>
      <c r="B69" s="147" t="s">
        <v>1800</v>
      </c>
      <c r="C69" s="147" t="s">
        <v>574</v>
      </c>
      <c r="D69" s="158">
        <v>75</v>
      </c>
      <c r="E69" s="118"/>
      <c r="G69" s="32"/>
      <c r="H69" s="32"/>
      <c r="I69" s="86"/>
      <c r="P69" s="30"/>
      <c r="Q69" s="30"/>
    </row>
    <row r="70" spans="1:17" ht="24">
      <c r="A70" s="152" t="s">
        <v>353</v>
      </c>
      <c r="B70" s="147" t="s">
        <v>356</v>
      </c>
      <c r="C70" s="147"/>
      <c r="D70" s="154">
        <f>D71</f>
        <v>60966.7</v>
      </c>
      <c r="E70" s="118"/>
      <c r="G70" s="32"/>
      <c r="H70" s="32"/>
      <c r="I70" s="86"/>
      <c r="P70" s="30"/>
      <c r="Q70" s="30"/>
    </row>
    <row r="71" spans="1:17" ht="24">
      <c r="A71" s="152" t="s">
        <v>490</v>
      </c>
      <c r="B71" s="147" t="s">
        <v>356</v>
      </c>
      <c r="C71" s="147" t="s">
        <v>489</v>
      </c>
      <c r="D71" s="154">
        <f>D72</f>
        <v>60966.7</v>
      </c>
      <c r="E71" s="118"/>
      <c r="G71" s="32"/>
      <c r="H71" s="32"/>
      <c r="I71" s="86"/>
      <c r="P71" s="30"/>
      <c r="Q71" s="30"/>
    </row>
    <row r="72" spans="1:17" ht="15">
      <c r="A72" s="157" t="s">
        <v>371</v>
      </c>
      <c r="B72" s="147" t="s">
        <v>356</v>
      </c>
      <c r="C72" s="147" t="s">
        <v>574</v>
      </c>
      <c r="D72" s="154">
        <f>61322-260+400-399-21.3-75</f>
        <v>60966.7</v>
      </c>
      <c r="E72" s="118"/>
      <c r="G72" s="32"/>
      <c r="H72" s="32"/>
      <c r="I72" s="86"/>
      <c r="P72" s="30"/>
      <c r="Q72" s="30"/>
    </row>
    <row r="73" spans="1:17" ht="36" hidden="1">
      <c r="A73" s="229" t="s">
        <v>562</v>
      </c>
      <c r="B73" s="147"/>
      <c r="C73" s="228"/>
      <c r="D73" s="154"/>
      <c r="E73" s="118"/>
      <c r="G73" s="32"/>
      <c r="H73" s="32"/>
      <c r="I73" s="86"/>
      <c r="P73" s="30"/>
      <c r="Q73" s="30"/>
    </row>
    <row r="74" spans="1:17" ht="24" hidden="1">
      <c r="A74" s="152" t="s">
        <v>97</v>
      </c>
      <c r="B74" s="147"/>
      <c r="C74" s="228"/>
      <c r="D74" s="154"/>
      <c r="E74" s="118"/>
      <c r="G74" s="32"/>
      <c r="H74" s="32"/>
      <c r="I74" s="86"/>
      <c r="P74" s="30"/>
      <c r="Q74" s="30"/>
    </row>
    <row r="75" spans="1:17" ht="15" hidden="1">
      <c r="A75" s="152" t="s">
        <v>371</v>
      </c>
      <c r="B75" s="147"/>
      <c r="C75" s="228"/>
      <c r="D75" s="154"/>
      <c r="E75" s="118"/>
      <c r="G75" s="32"/>
      <c r="H75" s="32"/>
      <c r="I75" s="86"/>
      <c r="P75" s="30"/>
      <c r="Q75" s="30"/>
    </row>
    <row r="76" spans="1:17" ht="36">
      <c r="A76" s="260" t="s">
        <v>1325</v>
      </c>
      <c r="B76" s="147" t="s">
        <v>1037</v>
      </c>
      <c r="C76" s="147"/>
      <c r="D76" s="154">
        <f>D77+D82+D90+D103</f>
        <v>44800.3</v>
      </c>
      <c r="E76" s="118"/>
      <c r="G76" s="32"/>
      <c r="H76" s="32"/>
      <c r="I76" s="86"/>
      <c r="P76" s="30"/>
      <c r="Q76" s="30"/>
    </row>
    <row r="77" spans="1:17" ht="33.75">
      <c r="A77" s="162" t="s">
        <v>357</v>
      </c>
      <c r="B77" s="147" t="s">
        <v>1038</v>
      </c>
      <c r="C77" s="147"/>
      <c r="D77" s="154">
        <f>D78</f>
        <v>3275</v>
      </c>
      <c r="E77" s="118"/>
      <c r="G77" s="32"/>
      <c r="H77" s="32"/>
      <c r="I77" s="86"/>
      <c r="P77" s="30"/>
      <c r="Q77" s="30"/>
    </row>
    <row r="78" spans="1:17" ht="15">
      <c r="A78" s="157" t="s">
        <v>360</v>
      </c>
      <c r="B78" s="147" t="s">
        <v>1039</v>
      </c>
      <c r="C78" s="147"/>
      <c r="D78" s="154">
        <f>D79</f>
        <v>3275</v>
      </c>
      <c r="E78" s="118"/>
      <c r="G78" s="32"/>
      <c r="H78" s="32"/>
      <c r="I78" s="86"/>
      <c r="P78" s="30"/>
      <c r="Q78" s="30"/>
    </row>
    <row r="79" spans="1:17" ht="24">
      <c r="A79" s="152" t="s">
        <v>490</v>
      </c>
      <c r="B79" s="147" t="s">
        <v>1039</v>
      </c>
      <c r="C79" s="147" t="s">
        <v>489</v>
      </c>
      <c r="D79" s="261">
        <f>D80+D81</f>
        <v>3275</v>
      </c>
      <c r="E79" s="118"/>
      <c r="G79" s="32"/>
      <c r="H79" s="32"/>
      <c r="I79" s="86"/>
      <c r="P79" s="30"/>
      <c r="Q79" s="30"/>
    </row>
    <row r="80" spans="1:17" ht="15">
      <c r="A80" s="157" t="s">
        <v>371</v>
      </c>
      <c r="B80" s="147" t="s">
        <v>1039</v>
      </c>
      <c r="C80" s="147" t="s">
        <v>574</v>
      </c>
      <c r="D80" s="261">
        <v>2700</v>
      </c>
      <c r="E80" s="118"/>
      <c r="G80" s="32"/>
      <c r="H80" s="32"/>
      <c r="I80" s="86"/>
      <c r="P80" s="30"/>
      <c r="Q80" s="30"/>
    </row>
    <row r="81" spans="1:17" ht="15">
      <c r="A81" s="157" t="s">
        <v>1125</v>
      </c>
      <c r="B81" s="147" t="s">
        <v>1039</v>
      </c>
      <c r="C81" s="147" t="s">
        <v>1126</v>
      </c>
      <c r="D81" s="158">
        <v>575</v>
      </c>
      <c r="E81" s="118"/>
      <c r="G81" s="32"/>
      <c r="H81" s="32"/>
      <c r="I81" s="86"/>
      <c r="P81" s="30"/>
      <c r="Q81" s="30"/>
    </row>
    <row r="82" spans="1:17" ht="22.5">
      <c r="A82" s="162" t="s">
        <v>951</v>
      </c>
      <c r="B82" s="147" t="s">
        <v>1040</v>
      </c>
      <c r="C82" s="147"/>
      <c r="D82" s="261">
        <f>D83+D86</f>
        <v>2685.3</v>
      </c>
      <c r="E82" s="118"/>
      <c r="G82" s="32"/>
      <c r="H82" s="32"/>
      <c r="I82" s="86"/>
      <c r="P82" s="30"/>
      <c r="Q82" s="30"/>
    </row>
    <row r="83" spans="1:17" ht="15">
      <c r="A83" s="157" t="s">
        <v>1265</v>
      </c>
      <c r="B83" s="147" t="s">
        <v>1266</v>
      </c>
      <c r="C83" s="147"/>
      <c r="D83" s="261">
        <f>D84</f>
        <v>0</v>
      </c>
      <c r="E83" s="118"/>
      <c r="G83" s="32"/>
      <c r="H83" s="32"/>
      <c r="I83" s="86"/>
      <c r="P83" s="30"/>
      <c r="Q83" s="30"/>
    </row>
    <row r="84" spans="1:17" ht="24">
      <c r="A84" s="152" t="s">
        <v>490</v>
      </c>
      <c r="B84" s="147" t="s">
        <v>1266</v>
      </c>
      <c r="C84" s="147" t="s">
        <v>489</v>
      </c>
      <c r="D84" s="261">
        <f>D85</f>
        <v>0</v>
      </c>
      <c r="E84" s="118"/>
      <c r="G84" s="32"/>
      <c r="H84" s="32"/>
      <c r="I84" s="86"/>
      <c r="P84" s="30"/>
      <c r="Q84" s="30"/>
    </row>
    <row r="85" spans="1:17" ht="15">
      <c r="A85" s="157" t="s">
        <v>1125</v>
      </c>
      <c r="B85" s="147" t="s">
        <v>1266</v>
      </c>
      <c r="C85" s="147" t="s">
        <v>1126</v>
      </c>
      <c r="D85" s="261"/>
      <c r="E85" s="118"/>
      <c r="G85" s="32"/>
      <c r="H85" s="32"/>
      <c r="I85" s="86"/>
      <c r="P85" s="30"/>
      <c r="Q85" s="30"/>
    </row>
    <row r="86" spans="1:17" ht="24">
      <c r="A86" s="157" t="s">
        <v>952</v>
      </c>
      <c r="B86" s="147" t="s">
        <v>1041</v>
      </c>
      <c r="C86" s="147"/>
      <c r="D86" s="261">
        <f>D87</f>
        <v>2685.3</v>
      </c>
      <c r="E86" s="118"/>
      <c r="G86" s="32"/>
      <c r="H86" s="32"/>
      <c r="I86" s="86"/>
      <c r="P86" s="30"/>
      <c r="Q86" s="30"/>
    </row>
    <row r="87" spans="1:17" ht="24">
      <c r="A87" s="152" t="s">
        <v>490</v>
      </c>
      <c r="B87" s="147" t="s">
        <v>1041</v>
      </c>
      <c r="C87" s="147" t="s">
        <v>489</v>
      </c>
      <c r="D87" s="261">
        <f>D88+D89</f>
        <v>2685.3</v>
      </c>
      <c r="E87" s="118"/>
      <c r="G87" s="32"/>
      <c r="H87" s="32"/>
      <c r="I87" s="86"/>
      <c r="P87" s="30"/>
      <c r="Q87" s="30"/>
    </row>
    <row r="88" spans="1:17" ht="15">
      <c r="A88" s="157" t="s">
        <v>371</v>
      </c>
      <c r="B88" s="147" t="s">
        <v>1041</v>
      </c>
      <c r="C88" s="147" t="s">
        <v>574</v>
      </c>
      <c r="D88" s="154">
        <f>10+152+13+960</f>
        <v>1135</v>
      </c>
      <c r="E88" s="118"/>
      <c r="G88" s="32"/>
      <c r="H88" s="32"/>
      <c r="I88" s="86"/>
      <c r="P88" s="30"/>
      <c r="Q88" s="30"/>
    </row>
    <row r="89" spans="1:17" ht="15">
      <c r="A89" s="157" t="s">
        <v>1125</v>
      </c>
      <c r="B89" s="147" t="s">
        <v>1041</v>
      </c>
      <c r="C89" s="147" t="s">
        <v>1126</v>
      </c>
      <c r="D89" s="154">
        <f>490+387+673.3</f>
        <v>1550.3</v>
      </c>
      <c r="E89" s="118"/>
      <c r="G89" s="32"/>
      <c r="H89" s="32"/>
      <c r="I89" s="86"/>
      <c r="P89" s="30"/>
      <c r="Q89" s="30"/>
    </row>
    <row r="90" spans="1:17" ht="22.5">
      <c r="A90" s="162" t="s">
        <v>1232</v>
      </c>
      <c r="B90" s="147" t="s">
        <v>1233</v>
      </c>
      <c r="C90" s="147"/>
      <c r="D90" s="154">
        <f>D91+D97+D94+D100</f>
        <v>38840</v>
      </c>
      <c r="E90" s="118"/>
      <c r="G90" s="32"/>
      <c r="H90" s="32"/>
      <c r="I90" s="86"/>
      <c r="P90" s="30"/>
      <c r="Q90" s="30"/>
    </row>
    <row r="91" spans="1:17" ht="15">
      <c r="A91" s="157" t="s">
        <v>1265</v>
      </c>
      <c r="B91" s="147" t="s">
        <v>1751</v>
      </c>
      <c r="C91" s="147"/>
      <c r="D91" s="158">
        <f>D92</f>
        <v>14000</v>
      </c>
      <c r="E91" s="118"/>
      <c r="G91" s="32"/>
      <c r="H91" s="32"/>
      <c r="I91" s="86"/>
      <c r="P91" s="30"/>
      <c r="Q91" s="30"/>
    </row>
    <row r="92" spans="1:17" ht="24">
      <c r="A92" s="152" t="s">
        <v>490</v>
      </c>
      <c r="B92" s="147" t="s">
        <v>1751</v>
      </c>
      <c r="C92" s="147" t="s">
        <v>489</v>
      </c>
      <c r="D92" s="158">
        <f>D93</f>
        <v>14000</v>
      </c>
      <c r="E92" s="118"/>
      <c r="G92" s="32"/>
      <c r="H92" s="32"/>
      <c r="I92" s="86"/>
      <c r="P92" s="30"/>
      <c r="Q92" s="30"/>
    </row>
    <row r="93" spans="1:17" ht="15">
      <c r="A93" s="157" t="s">
        <v>1125</v>
      </c>
      <c r="B93" s="147" t="s">
        <v>1751</v>
      </c>
      <c r="C93" s="147" t="s">
        <v>1126</v>
      </c>
      <c r="D93" s="158">
        <v>14000</v>
      </c>
      <c r="E93" s="118"/>
      <c r="G93" s="32"/>
      <c r="H93" s="32"/>
      <c r="I93" s="86"/>
      <c r="P93" s="30"/>
      <c r="Q93" s="30"/>
    </row>
    <row r="94" spans="1:17" ht="15">
      <c r="A94" s="312" t="s">
        <v>1570</v>
      </c>
      <c r="B94" s="147" t="s">
        <v>1571</v>
      </c>
      <c r="C94" s="147"/>
      <c r="D94" s="154">
        <f>D95</f>
        <v>0</v>
      </c>
      <c r="E94" s="118"/>
      <c r="G94" s="32"/>
      <c r="H94" s="32"/>
      <c r="I94" s="86"/>
      <c r="P94" s="30"/>
      <c r="Q94" s="30"/>
    </row>
    <row r="95" spans="1:17" ht="24">
      <c r="A95" s="152" t="s">
        <v>490</v>
      </c>
      <c r="B95" s="147" t="s">
        <v>1571</v>
      </c>
      <c r="C95" s="147" t="s">
        <v>489</v>
      </c>
      <c r="D95" s="154">
        <f>D96</f>
        <v>0</v>
      </c>
      <c r="E95" s="118"/>
      <c r="G95" s="32"/>
      <c r="H95" s="32"/>
      <c r="I95" s="86"/>
      <c r="P95" s="30"/>
      <c r="Q95" s="30"/>
    </row>
    <row r="96" spans="1:17" ht="15">
      <c r="A96" s="157" t="s">
        <v>1125</v>
      </c>
      <c r="B96" s="147" t="s">
        <v>1571</v>
      </c>
      <c r="C96" s="147" t="s">
        <v>1126</v>
      </c>
      <c r="D96" s="154">
        <f>10000-10000</f>
        <v>0</v>
      </c>
      <c r="E96" s="118"/>
      <c r="G96" s="32"/>
      <c r="H96" s="32"/>
      <c r="I96" s="86"/>
      <c r="P96" s="30"/>
      <c r="Q96" s="30"/>
    </row>
    <row r="97" spans="1:17" ht="15">
      <c r="A97" s="157" t="s">
        <v>1234</v>
      </c>
      <c r="B97" s="147" t="s">
        <v>1235</v>
      </c>
      <c r="C97" s="147"/>
      <c r="D97" s="154">
        <f>D98</f>
        <v>14840</v>
      </c>
      <c r="E97" s="118"/>
      <c r="G97" s="32"/>
      <c r="H97" s="32"/>
      <c r="I97" s="86"/>
      <c r="P97" s="30"/>
      <c r="Q97" s="30"/>
    </row>
    <row r="98" spans="1:17" ht="24">
      <c r="A98" s="152" t="s">
        <v>490</v>
      </c>
      <c r="B98" s="147" t="s">
        <v>1235</v>
      </c>
      <c r="C98" s="147" t="s">
        <v>489</v>
      </c>
      <c r="D98" s="154">
        <f>D99</f>
        <v>14840</v>
      </c>
      <c r="E98" s="118"/>
      <c r="G98" s="32"/>
      <c r="H98" s="32"/>
      <c r="I98" s="86"/>
      <c r="P98" s="30"/>
      <c r="Q98" s="30"/>
    </row>
    <row r="99" spans="1:17" ht="15">
      <c r="A99" s="157" t="s">
        <v>1125</v>
      </c>
      <c r="B99" s="147" t="s">
        <v>1235</v>
      </c>
      <c r="C99" s="147" t="s">
        <v>1126</v>
      </c>
      <c r="D99" s="154">
        <f>10000+4840</f>
        <v>14840</v>
      </c>
      <c r="E99" s="118"/>
      <c r="G99" s="32"/>
      <c r="H99" s="32"/>
      <c r="I99" s="86"/>
      <c r="P99" s="30"/>
      <c r="Q99" s="30"/>
    </row>
    <row r="100" spans="1:17" ht="48">
      <c r="A100" s="157" t="s">
        <v>1717</v>
      </c>
      <c r="B100" s="147" t="s">
        <v>1718</v>
      </c>
      <c r="C100" s="147"/>
      <c r="D100" s="154">
        <f>D101</f>
        <v>10000</v>
      </c>
      <c r="E100" s="118"/>
      <c r="G100" s="32"/>
      <c r="H100" s="32"/>
      <c r="I100" s="86"/>
      <c r="P100" s="30"/>
      <c r="Q100" s="30"/>
    </row>
    <row r="101" spans="1:17" ht="24">
      <c r="A101" s="152" t="s">
        <v>490</v>
      </c>
      <c r="B101" s="147" t="s">
        <v>1718</v>
      </c>
      <c r="C101" s="147" t="s">
        <v>489</v>
      </c>
      <c r="D101" s="154">
        <f>D102</f>
        <v>10000</v>
      </c>
      <c r="E101" s="118"/>
      <c r="G101" s="32"/>
      <c r="H101" s="32"/>
      <c r="I101" s="86"/>
      <c r="P101" s="30"/>
      <c r="Q101" s="30"/>
    </row>
    <row r="102" spans="1:17" ht="15">
      <c r="A102" s="157" t="s">
        <v>1125</v>
      </c>
      <c r="B102" s="147" t="s">
        <v>1718</v>
      </c>
      <c r="C102" s="147" t="s">
        <v>1126</v>
      </c>
      <c r="D102" s="154">
        <f>3400+6600</f>
        <v>10000</v>
      </c>
      <c r="E102" s="118"/>
      <c r="G102" s="32"/>
      <c r="H102" s="32"/>
      <c r="I102" s="86"/>
      <c r="P102" s="30"/>
      <c r="Q102" s="30"/>
    </row>
    <row r="103" spans="1:17" ht="33.75">
      <c r="A103" s="162" t="s">
        <v>1616</v>
      </c>
      <c r="B103" s="147" t="s">
        <v>1617</v>
      </c>
      <c r="C103" s="147"/>
      <c r="D103" s="154">
        <f>D104</f>
        <v>0</v>
      </c>
      <c r="E103" s="118"/>
      <c r="G103" s="32"/>
      <c r="H103" s="32"/>
      <c r="I103" s="86"/>
      <c r="P103" s="30"/>
      <c r="Q103" s="30"/>
    </row>
    <row r="104" spans="1:17" ht="24">
      <c r="A104" s="152" t="s">
        <v>490</v>
      </c>
      <c r="B104" s="147" t="s">
        <v>1619</v>
      </c>
      <c r="C104" s="147" t="s">
        <v>1167</v>
      </c>
      <c r="D104" s="154">
        <f>D105</f>
        <v>0</v>
      </c>
      <c r="E104" s="118"/>
      <c r="G104" s="32"/>
      <c r="H104" s="32"/>
      <c r="I104" s="86"/>
      <c r="P104" s="30"/>
      <c r="Q104" s="30"/>
    </row>
    <row r="105" spans="1:17" ht="15">
      <c r="A105" s="157" t="s">
        <v>1125</v>
      </c>
      <c r="B105" s="147" t="s">
        <v>1619</v>
      </c>
      <c r="C105" s="147" t="s">
        <v>881</v>
      </c>
      <c r="D105" s="158">
        <f>4840-4840</f>
        <v>0</v>
      </c>
      <c r="E105" s="118"/>
      <c r="G105" s="32"/>
      <c r="H105" s="32"/>
      <c r="I105" s="86"/>
      <c r="P105" s="30"/>
      <c r="Q105" s="30"/>
    </row>
    <row r="106" spans="1:17" ht="55.5" customHeight="1">
      <c r="A106" s="260" t="s">
        <v>1361</v>
      </c>
      <c r="B106" s="147" t="s">
        <v>358</v>
      </c>
      <c r="C106" s="228"/>
      <c r="D106" s="154">
        <f>D107+D115</f>
        <v>59558</v>
      </c>
      <c r="E106" s="118"/>
      <c r="G106" s="32"/>
      <c r="H106" s="32"/>
      <c r="I106" s="86"/>
      <c r="P106" s="30"/>
      <c r="Q106" s="30"/>
    </row>
    <row r="107" spans="1:17" ht="22.5">
      <c r="A107" s="162" t="s">
        <v>726</v>
      </c>
      <c r="B107" s="147" t="s">
        <v>359</v>
      </c>
      <c r="C107" s="147"/>
      <c r="D107" s="154">
        <f>D108</f>
        <v>15633</v>
      </c>
      <c r="E107" s="118"/>
      <c r="G107" s="32"/>
      <c r="H107" s="32"/>
      <c r="I107" s="86"/>
      <c r="P107" s="30"/>
      <c r="Q107" s="30"/>
    </row>
    <row r="108" spans="1:17" ht="15">
      <c r="A108" s="157" t="s">
        <v>191</v>
      </c>
      <c r="B108" s="147" t="s">
        <v>1042</v>
      </c>
      <c r="C108" s="147"/>
      <c r="D108" s="154">
        <f>D109+D111+D113</f>
        <v>15633</v>
      </c>
      <c r="E108" s="118"/>
      <c r="G108" s="32"/>
      <c r="H108" s="32"/>
      <c r="I108" s="86"/>
      <c r="P108" s="30"/>
      <c r="Q108" s="30"/>
    </row>
    <row r="109" spans="1:17" ht="48">
      <c r="A109" s="153" t="s">
        <v>1065</v>
      </c>
      <c r="B109" s="147" t="s">
        <v>1042</v>
      </c>
      <c r="C109" s="147" t="s">
        <v>960</v>
      </c>
      <c r="D109" s="154">
        <f>D110</f>
        <v>14067.5</v>
      </c>
      <c r="E109" s="118"/>
      <c r="G109" s="32"/>
      <c r="H109" s="32"/>
      <c r="I109" s="86"/>
      <c r="P109" s="30"/>
      <c r="Q109" s="30"/>
    </row>
    <row r="110" spans="1:17" ht="24">
      <c r="A110" s="153" t="s">
        <v>515</v>
      </c>
      <c r="B110" s="147" t="s">
        <v>1042</v>
      </c>
      <c r="C110" s="147" t="s">
        <v>115</v>
      </c>
      <c r="D110" s="154">
        <f>13322+563+170+12.5</f>
        <v>14067.5</v>
      </c>
      <c r="E110" s="118"/>
      <c r="G110" s="32"/>
      <c r="H110" s="32"/>
      <c r="I110" s="86"/>
      <c r="P110" s="30"/>
      <c r="Q110" s="30"/>
    </row>
    <row r="111" spans="1:17" ht="24">
      <c r="A111" s="153" t="s">
        <v>1066</v>
      </c>
      <c r="B111" s="147" t="s">
        <v>1042</v>
      </c>
      <c r="C111" s="147" t="s">
        <v>529</v>
      </c>
      <c r="D111" s="154">
        <f>D112</f>
        <v>1557.5</v>
      </c>
      <c r="E111" s="118"/>
      <c r="G111" s="32"/>
      <c r="H111" s="32"/>
      <c r="I111" s="86"/>
      <c r="P111" s="30"/>
      <c r="Q111" s="30"/>
    </row>
    <row r="112" spans="1:17" ht="15">
      <c r="A112" s="153" t="s">
        <v>974</v>
      </c>
      <c r="B112" s="147" t="s">
        <v>1042</v>
      </c>
      <c r="C112" s="147" t="s">
        <v>429</v>
      </c>
      <c r="D112" s="154">
        <f>1772-100-102-12.5</f>
        <v>1557.5</v>
      </c>
      <c r="E112" s="118"/>
      <c r="G112" s="32"/>
      <c r="H112" s="32"/>
      <c r="I112" s="86"/>
      <c r="P112" s="30"/>
      <c r="Q112" s="30"/>
    </row>
    <row r="113" spans="1:17" ht="15">
      <c r="A113" s="153" t="s">
        <v>985</v>
      </c>
      <c r="B113" s="147" t="s">
        <v>1042</v>
      </c>
      <c r="C113" s="147" t="s">
        <v>986</v>
      </c>
      <c r="D113" s="154">
        <f>D114</f>
        <v>8</v>
      </c>
      <c r="E113" s="118"/>
      <c r="G113" s="32"/>
      <c r="H113" s="32"/>
      <c r="I113" s="86"/>
      <c r="P113" s="30"/>
      <c r="Q113" s="30"/>
    </row>
    <row r="114" spans="1:17" ht="15">
      <c r="A114" s="153" t="s">
        <v>459</v>
      </c>
      <c r="B114" s="147" t="s">
        <v>1042</v>
      </c>
      <c r="C114" s="147" t="s">
        <v>460</v>
      </c>
      <c r="D114" s="154">
        <v>8</v>
      </c>
      <c r="E114" s="118"/>
      <c r="G114" s="32"/>
      <c r="H114" s="32"/>
      <c r="I114" s="86"/>
      <c r="P114" s="30"/>
      <c r="Q114" s="30"/>
    </row>
    <row r="115" spans="1:17" ht="24">
      <c r="A115" s="239" t="s">
        <v>362</v>
      </c>
      <c r="B115" s="147" t="s">
        <v>953</v>
      </c>
      <c r="C115" s="147"/>
      <c r="D115" s="154">
        <f>D116</f>
        <v>43925</v>
      </c>
      <c r="E115" s="118"/>
      <c r="G115" s="32"/>
      <c r="H115" s="32"/>
      <c r="I115" s="86"/>
      <c r="P115" s="30"/>
      <c r="Q115" s="30"/>
    </row>
    <row r="116" spans="1:17" ht="48">
      <c r="A116" s="193" t="s">
        <v>541</v>
      </c>
      <c r="B116" s="147" t="s">
        <v>1043</v>
      </c>
      <c r="C116" s="147"/>
      <c r="D116" s="154">
        <f>D117</f>
        <v>43925</v>
      </c>
      <c r="E116" s="118"/>
      <c r="G116" s="32"/>
      <c r="H116" s="32"/>
      <c r="I116" s="86"/>
      <c r="P116" s="30"/>
      <c r="Q116" s="30"/>
    </row>
    <row r="117" spans="1:17" ht="24">
      <c r="A117" s="152" t="s">
        <v>490</v>
      </c>
      <c r="B117" s="147" t="s">
        <v>1043</v>
      </c>
      <c r="C117" s="147" t="s">
        <v>489</v>
      </c>
      <c r="D117" s="154">
        <f>D118</f>
        <v>43925</v>
      </c>
      <c r="E117" s="118"/>
      <c r="G117" s="32"/>
      <c r="H117" s="32"/>
      <c r="I117" s="86"/>
      <c r="P117" s="30"/>
      <c r="Q117" s="30"/>
    </row>
    <row r="118" spans="1:17" ht="15">
      <c r="A118" s="157" t="s">
        <v>371</v>
      </c>
      <c r="B118" s="147" t="s">
        <v>1043</v>
      </c>
      <c r="C118" s="147" t="s">
        <v>574</v>
      </c>
      <c r="D118" s="154">
        <f>44145+100-310-10</f>
        <v>43925</v>
      </c>
      <c r="E118" s="275"/>
      <c r="F118" s="274"/>
      <c r="G118" s="32"/>
      <c r="H118" s="32"/>
      <c r="I118" s="86"/>
      <c r="P118" s="30"/>
      <c r="Q118" s="30"/>
    </row>
    <row r="119" spans="1:17" ht="33.75">
      <c r="A119" s="230" t="s">
        <v>1418</v>
      </c>
      <c r="B119" s="231" t="s">
        <v>3</v>
      </c>
      <c r="C119" s="232"/>
      <c r="D119" s="227">
        <f>D120+D152+D226+D267</f>
        <v>3592650</v>
      </c>
      <c r="E119" s="118" t="e">
        <f>D122+D129+D132+D135+#REF!+D146+D154+D158+D169+D173+D176+D185+D201+D218+D247</f>
        <v>#REF!</v>
      </c>
      <c r="F119" s="63">
        <f>D125+D142+D149+D161+D164+D180+D188+D191+D207+D223+D238+D252+D259+D263+D269+D277+D281+D287</f>
        <v>1015788.8</v>
      </c>
      <c r="G119" s="32"/>
      <c r="H119" s="32"/>
      <c r="I119" s="86"/>
      <c r="J119" s="32">
        <f>D122+D129+D132+D135+D146+D154+D158+D169+D173+D176+D185+D201+D218+D247</f>
        <v>2442036.3</v>
      </c>
      <c r="P119" s="30"/>
      <c r="Q119" s="30"/>
    </row>
    <row r="120" spans="1:17" ht="15">
      <c r="A120" s="260" t="s">
        <v>1749</v>
      </c>
      <c r="B120" s="147" t="s">
        <v>8</v>
      </c>
      <c r="C120" s="228"/>
      <c r="D120" s="154">
        <f>D121+D128+D145</f>
        <v>1219042.3</v>
      </c>
      <c r="E120" s="118" t="e">
        <f>D122+D129+D132+D135+#REF!+D146</f>
        <v>#REF!</v>
      </c>
      <c r="F120" s="63">
        <f>D125+D142+D149</f>
        <v>323567.30000000005</v>
      </c>
      <c r="G120" s="32"/>
      <c r="H120" s="32"/>
      <c r="I120" s="86"/>
      <c r="P120" s="30"/>
      <c r="Q120" s="30"/>
    </row>
    <row r="121" spans="1:17" ht="33.75">
      <c r="A121" s="162" t="s">
        <v>12</v>
      </c>
      <c r="B121" s="147" t="s">
        <v>14</v>
      </c>
      <c r="C121" s="147"/>
      <c r="D121" s="154">
        <f>D122+D125</f>
        <v>68650</v>
      </c>
      <c r="E121" s="118"/>
      <c r="G121" s="32"/>
      <c r="H121" s="32"/>
      <c r="I121" s="86"/>
      <c r="P121" s="30"/>
      <c r="Q121" s="30"/>
    </row>
    <row r="122" spans="1:17" ht="48">
      <c r="A122" s="157" t="s">
        <v>1670</v>
      </c>
      <c r="B122" s="147" t="s">
        <v>1671</v>
      </c>
      <c r="C122" s="147"/>
      <c r="D122" s="158">
        <f>D123</f>
        <v>52000</v>
      </c>
      <c r="E122" s="118"/>
      <c r="G122" s="32"/>
      <c r="H122" s="32"/>
      <c r="I122" s="86"/>
      <c r="P122" s="30"/>
      <c r="Q122" s="30"/>
    </row>
    <row r="123" spans="1:17" ht="24">
      <c r="A123" s="152" t="s">
        <v>490</v>
      </c>
      <c r="B123" s="147" t="s">
        <v>1671</v>
      </c>
      <c r="C123" s="147" t="s">
        <v>489</v>
      </c>
      <c r="D123" s="158">
        <f>D124</f>
        <v>52000</v>
      </c>
      <c r="E123" s="118"/>
      <c r="G123" s="32"/>
      <c r="H123" s="32"/>
      <c r="I123" s="86"/>
      <c r="P123" s="30"/>
      <c r="Q123" s="30"/>
    </row>
    <row r="124" spans="1:17" ht="15">
      <c r="A124" s="157" t="s">
        <v>1125</v>
      </c>
      <c r="B124" s="147" t="s">
        <v>1671</v>
      </c>
      <c r="C124" s="147" t="s">
        <v>1126</v>
      </c>
      <c r="D124" s="158">
        <v>52000</v>
      </c>
      <c r="E124" s="118"/>
      <c r="G124" s="32"/>
      <c r="H124" s="32"/>
      <c r="I124" s="86"/>
      <c r="P124" s="30"/>
      <c r="Q124" s="30"/>
    </row>
    <row r="125" spans="1:17" ht="24">
      <c r="A125" s="157" t="s">
        <v>13</v>
      </c>
      <c r="B125" s="147" t="s">
        <v>15</v>
      </c>
      <c r="C125" s="147"/>
      <c r="D125" s="154">
        <f>D126</f>
        <v>16650</v>
      </c>
      <c r="E125" s="118"/>
      <c r="G125" s="32"/>
      <c r="H125" s="32"/>
      <c r="I125" s="86"/>
      <c r="P125" s="30"/>
      <c r="Q125" s="30"/>
    </row>
    <row r="126" spans="1:17" ht="24">
      <c r="A126" s="152" t="s">
        <v>490</v>
      </c>
      <c r="B126" s="147" t="s">
        <v>15</v>
      </c>
      <c r="C126" s="147" t="s">
        <v>489</v>
      </c>
      <c r="D126" s="154">
        <f>D127</f>
        <v>16650</v>
      </c>
      <c r="E126" s="118"/>
      <c r="G126" s="32"/>
      <c r="H126" s="32"/>
      <c r="I126" s="86"/>
      <c r="P126" s="30"/>
      <c r="Q126" s="30"/>
    </row>
    <row r="127" spans="1:17" ht="15">
      <c r="A127" s="157" t="s">
        <v>1125</v>
      </c>
      <c r="B127" s="147" t="s">
        <v>15</v>
      </c>
      <c r="C127" s="147" t="s">
        <v>1126</v>
      </c>
      <c r="D127" s="158">
        <f>13000+3500+150</f>
        <v>16650</v>
      </c>
      <c r="E127" s="118"/>
      <c r="G127" s="32"/>
      <c r="H127" s="32"/>
      <c r="I127" s="86"/>
      <c r="P127" s="30"/>
      <c r="Q127" s="30"/>
    </row>
    <row r="128" spans="1:17" ht="33.75">
      <c r="A128" s="162" t="s">
        <v>7</v>
      </c>
      <c r="B128" s="147" t="s">
        <v>9</v>
      </c>
      <c r="C128" s="147"/>
      <c r="D128" s="154">
        <f>D129+D132+D135+D142</f>
        <v>1149842.3</v>
      </c>
      <c r="E128" s="118"/>
      <c r="G128" s="32"/>
      <c r="H128" s="32"/>
      <c r="I128" s="86"/>
      <c r="P128" s="30"/>
      <c r="Q128" s="30"/>
    </row>
    <row r="129" spans="1:17" ht="84">
      <c r="A129" s="179" t="s">
        <v>286</v>
      </c>
      <c r="B129" s="147" t="s">
        <v>16</v>
      </c>
      <c r="C129" s="147"/>
      <c r="D129" s="154">
        <f>D130</f>
        <v>767721</v>
      </c>
      <c r="E129" s="118"/>
      <c r="G129" s="32"/>
      <c r="H129" s="32"/>
      <c r="I129" s="86"/>
      <c r="P129" s="30"/>
      <c r="Q129" s="30"/>
    </row>
    <row r="130" spans="1:17" ht="24">
      <c r="A130" s="152" t="s">
        <v>490</v>
      </c>
      <c r="B130" s="147" t="s">
        <v>16</v>
      </c>
      <c r="C130" s="147" t="s">
        <v>489</v>
      </c>
      <c r="D130" s="154">
        <f>D131</f>
        <v>767721</v>
      </c>
      <c r="E130" s="118"/>
      <c r="G130" s="32"/>
      <c r="H130" s="32"/>
      <c r="I130" s="86"/>
      <c r="P130" s="30"/>
      <c r="Q130" s="30"/>
    </row>
    <row r="131" spans="1:17" ht="15">
      <c r="A131" s="157" t="s">
        <v>1125</v>
      </c>
      <c r="B131" s="147" t="s">
        <v>16</v>
      </c>
      <c r="C131" s="147" t="s">
        <v>1126</v>
      </c>
      <c r="D131" s="154">
        <f>697262+47353+14566+7607+933</f>
        <v>767721</v>
      </c>
      <c r="E131" s="118"/>
      <c r="G131" s="32"/>
      <c r="H131" s="32"/>
      <c r="I131" s="86"/>
      <c r="P131" s="30"/>
      <c r="Q131" s="30"/>
    </row>
    <row r="132" spans="1:17" ht="72">
      <c r="A132" s="180" t="s">
        <v>744</v>
      </c>
      <c r="B132" s="147" t="s">
        <v>17</v>
      </c>
      <c r="C132" s="147"/>
      <c r="D132" s="154">
        <f>D133</f>
        <v>5589</v>
      </c>
      <c r="E132" s="118"/>
      <c r="G132" s="32"/>
      <c r="H132" s="32"/>
      <c r="I132" s="86"/>
      <c r="P132" s="30"/>
      <c r="Q132" s="30"/>
    </row>
    <row r="133" spans="1:17" ht="24">
      <c r="A133" s="152" t="s">
        <v>490</v>
      </c>
      <c r="B133" s="147" t="s">
        <v>17</v>
      </c>
      <c r="C133" s="147" t="s">
        <v>489</v>
      </c>
      <c r="D133" s="154">
        <f>D134</f>
        <v>5589</v>
      </c>
      <c r="E133" s="118"/>
      <c r="G133" s="32"/>
      <c r="H133" s="32"/>
      <c r="I133" s="86"/>
      <c r="P133" s="30"/>
      <c r="Q133" s="30"/>
    </row>
    <row r="134" spans="1:17" ht="24">
      <c r="A134" s="157" t="s">
        <v>18</v>
      </c>
      <c r="B134" s="147" t="s">
        <v>17</v>
      </c>
      <c r="C134" s="147" t="s">
        <v>595</v>
      </c>
      <c r="D134" s="154">
        <f>2990+2115+308+113+56+7</f>
        <v>5589</v>
      </c>
      <c r="E134" s="118"/>
      <c r="G134" s="32"/>
      <c r="H134" s="32"/>
      <c r="I134" s="86"/>
      <c r="P134" s="30"/>
      <c r="Q134" s="30"/>
    </row>
    <row r="135" spans="1:17" ht="48">
      <c r="A135" s="191" t="s">
        <v>648</v>
      </c>
      <c r="B135" s="150" t="s">
        <v>10</v>
      </c>
      <c r="C135" s="150"/>
      <c r="D135" s="154">
        <f>D136+D138+D140</f>
        <v>69665</v>
      </c>
      <c r="E135" s="118"/>
      <c r="G135" s="32"/>
      <c r="H135" s="32"/>
      <c r="I135" s="86"/>
      <c r="P135" s="30"/>
      <c r="Q135" s="30"/>
    </row>
    <row r="136" spans="1:17" ht="24">
      <c r="A136" s="157" t="s">
        <v>478</v>
      </c>
      <c r="B136" s="147" t="s">
        <v>10</v>
      </c>
      <c r="C136" s="147" t="s">
        <v>529</v>
      </c>
      <c r="D136" s="154">
        <f>D137</f>
        <v>667</v>
      </c>
      <c r="E136" s="118"/>
      <c r="G136" s="32"/>
      <c r="H136" s="32"/>
      <c r="I136" s="86"/>
      <c r="P136" s="30"/>
      <c r="Q136" s="30"/>
    </row>
    <row r="137" spans="1:17" ht="24">
      <c r="A137" s="157" t="s">
        <v>920</v>
      </c>
      <c r="B137" s="147" t="s">
        <v>10</v>
      </c>
      <c r="C137" s="147" t="s">
        <v>429</v>
      </c>
      <c r="D137" s="154">
        <v>667</v>
      </c>
      <c r="E137" s="118"/>
      <c r="G137" s="32"/>
      <c r="H137" s="32"/>
      <c r="I137" s="86"/>
      <c r="P137" s="30"/>
      <c r="Q137" s="30"/>
    </row>
    <row r="138" spans="1:17" ht="15">
      <c r="A138" s="153" t="s">
        <v>530</v>
      </c>
      <c r="B138" s="147" t="s">
        <v>10</v>
      </c>
      <c r="C138" s="147" t="s">
        <v>531</v>
      </c>
      <c r="D138" s="154">
        <f>D139</f>
        <v>66682</v>
      </c>
      <c r="E138" s="118"/>
      <c r="G138" s="32"/>
      <c r="H138" s="32"/>
      <c r="I138" s="86"/>
      <c r="P138" s="30"/>
      <c r="Q138" s="30"/>
    </row>
    <row r="139" spans="1:17" ht="24">
      <c r="A139" s="152" t="s">
        <v>171</v>
      </c>
      <c r="B139" s="147" t="s">
        <v>10</v>
      </c>
      <c r="C139" s="147" t="s">
        <v>399</v>
      </c>
      <c r="D139" s="154">
        <v>66682</v>
      </c>
      <c r="E139" s="118"/>
      <c r="G139" s="32"/>
      <c r="H139" s="32"/>
      <c r="I139" s="86"/>
      <c r="P139" s="30"/>
      <c r="Q139" s="30"/>
    </row>
    <row r="140" spans="1:17" ht="24">
      <c r="A140" s="152" t="s">
        <v>490</v>
      </c>
      <c r="B140" s="150" t="s">
        <v>10</v>
      </c>
      <c r="C140" s="150" t="s">
        <v>489</v>
      </c>
      <c r="D140" s="154">
        <f>D141</f>
        <v>2316</v>
      </c>
      <c r="E140" s="118"/>
      <c r="G140" s="32"/>
      <c r="H140" s="32"/>
      <c r="I140" s="86"/>
      <c r="P140" s="30"/>
      <c r="Q140" s="30"/>
    </row>
    <row r="141" spans="1:17" ht="15">
      <c r="A141" s="157" t="s">
        <v>573</v>
      </c>
      <c r="B141" s="150" t="s">
        <v>10</v>
      </c>
      <c r="C141" s="150" t="s">
        <v>574</v>
      </c>
      <c r="D141" s="154">
        <v>2316</v>
      </c>
      <c r="E141" s="118"/>
      <c r="G141" s="32"/>
      <c r="H141" s="32"/>
      <c r="I141" s="86"/>
      <c r="P141" s="30"/>
      <c r="Q141" s="30"/>
    </row>
    <row r="142" spans="1:17" ht="24">
      <c r="A142" s="157" t="s">
        <v>13</v>
      </c>
      <c r="B142" s="147" t="s">
        <v>1195</v>
      </c>
      <c r="C142" s="147"/>
      <c r="D142" s="154">
        <f>D143</f>
        <v>306867.30000000005</v>
      </c>
      <c r="E142" s="118"/>
      <c r="G142" s="32"/>
      <c r="H142" s="32"/>
      <c r="I142" s="86"/>
      <c r="P142" s="30"/>
      <c r="Q142" s="30"/>
    </row>
    <row r="143" spans="1:17" ht="24">
      <c r="A143" s="152" t="s">
        <v>490</v>
      </c>
      <c r="B143" s="147" t="s">
        <v>1195</v>
      </c>
      <c r="C143" s="147" t="s">
        <v>489</v>
      </c>
      <c r="D143" s="154">
        <f>D144</f>
        <v>306867.30000000005</v>
      </c>
      <c r="E143" s="118"/>
      <c r="G143" s="32"/>
      <c r="H143" s="32"/>
      <c r="I143" s="86"/>
      <c r="P143" s="30"/>
      <c r="Q143" s="30"/>
    </row>
    <row r="144" spans="1:17" ht="15">
      <c r="A144" s="157" t="s">
        <v>1125</v>
      </c>
      <c r="B144" s="147" t="s">
        <v>1195</v>
      </c>
      <c r="C144" s="150" t="s">
        <v>1126</v>
      </c>
      <c r="D144" s="154">
        <f>234736-330+44022.9-44937.9+14850+1577.8+20+28728.5-14850+2100+30000+8000+2950</f>
        <v>306867.30000000005</v>
      </c>
      <c r="E144" s="118"/>
      <c r="G144" s="32"/>
      <c r="H144" s="32"/>
      <c r="I144" s="86"/>
      <c r="P144" s="30"/>
      <c r="Q144" s="30"/>
    </row>
    <row r="145" spans="1:17" ht="33.75">
      <c r="A145" s="162" t="s">
        <v>1558</v>
      </c>
      <c r="B145" s="147" t="s">
        <v>1559</v>
      </c>
      <c r="C145" s="150"/>
      <c r="D145" s="154">
        <f>D146+D149</f>
        <v>550</v>
      </c>
      <c r="E145" s="118"/>
      <c r="G145" s="32"/>
      <c r="H145" s="32"/>
      <c r="I145" s="86"/>
      <c r="P145" s="30"/>
      <c r="Q145" s="30"/>
    </row>
    <row r="146" spans="1:17" ht="48">
      <c r="A146" s="157" t="s">
        <v>1673</v>
      </c>
      <c r="B146" s="147" t="s">
        <v>1674</v>
      </c>
      <c r="C146" s="150"/>
      <c r="D146" s="158">
        <f>D147</f>
        <v>500</v>
      </c>
      <c r="E146" s="118"/>
      <c r="G146" s="32"/>
      <c r="H146" s="32"/>
      <c r="I146" s="86"/>
      <c r="P146" s="30"/>
      <c r="Q146" s="30"/>
    </row>
    <row r="147" spans="1:17" ht="24">
      <c r="A147" s="152" t="s">
        <v>490</v>
      </c>
      <c r="B147" s="147" t="s">
        <v>1674</v>
      </c>
      <c r="C147" s="150" t="s">
        <v>489</v>
      </c>
      <c r="D147" s="158">
        <f>D148</f>
        <v>500</v>
      </c>
      <c r="E147" s="118"/>
      <c r="G147" s="32"/>
      <c r="H147" s="32"/>
      <c r="I147" s="86"/>
      <c r="P147" s="30"/>
      <c r="Q147" s="30"/>
    </row>
    <row r="148" spans="1:17" ht="15">
      <c r="A148" s="157" t="s">
        <v>1125</v>
      </c>
      <c r="B148" s="147" t="s">
        <v>1674</v>
      </c>
      <c r="C148" s="150" t="s">
        <v>1126</v>
      </c>
      <c r="D148" s="158">
        <v>500</v>
      </c>
      <c r="E148" s="118"/>
      <c r="G148" s="32"/>
      <c r="H148" s="32"/>
      <c r="I148" s="86"/>
      <c r="P148" s="30"/>
      <c r="Q148" s="30"/>
    </row>
    <row r="149" spans="1:17" ht="24">
      <c r="A149" s="157" t="s">
        <v>13</v>
      </c>
      <c r="B149" s="147" t="s">
        <v>1560</v>
      </c>
      <c r="C149" s="150"/>
      <c r="D149" s="154">
        <f>D150</f>
        <v>50</v>
      </c>
      <c r="E149" s="118"/>
      <c r="G149" s="32"/>
      <c r="H149" s="32"/>
      <c r="I149" s="86"/>
      <c r="P149" s="30"/>
      <c r="Q149" s="30"/>
    </row>
    <row r="150" spans="1:17" ht="24">
      <c r="A150" s="152" t="s">
        <v>490</v>
      </c>
      <c r="B150" s="147" t="s">
        <v>1560</v>
      </c>
      <c r="C150" s="150" t="s">
        <v>489</v>
      </c>
      <c r="D150" s="154">
        <f>D151</f>
        <v>50</v>
      </c>
      <c r="E150" s="118"/>
      <c r="G150" s="32"/>
      <c r="H150" s="32"/>
      <c r="I150" s="86"/>
      <c r="P150" s="30"/>
      <c r="Q150" s="30"/>
    </row>
    <row r="151" spans="1:17" ht="15">
      <c r="A151" s="157" t="s">
        <v>1125</v>
      </c>
      <c r="B151" s="147" t="s">
        <v>1560</v>
      </c>
      <c r="C151" s="150" t="s">
        <v>1126</v>
      </c>
      <c r="D151" s="154">
        <f>250-30-170</f>
        <v>50</v>
      </c>
      <c r="E151" s="118"/>
      <c r="G151" s="32"/>
      <c r="H151" s="32"/>
      <c r="I151" s="86"/>
      <c r="P151" s="30"/>
      <c r="Q151" s="30"/>
    </row>
    <row r="152" spans="1:17" ht="15">
      <c r="A152" s="262" t="s">
        <v>1736</v>
      </c>
      <c r="B152" s="216" t="s">
        <v>4</v>
      </c>
      <c r="C152" s="233"/>
      <c r="D152" s="234">
        <f>D153+D168+D184+D197+D217</f>
        <v>1904473.7000000002</v>
      </c>
      <c r="E152" s="118">
        <f>D154+D158+D169+D173+D176+D185+D201+D218</f>
        <v>1538197.3</v>
      </c>
      <c r="F152" s="63">
        <f>D161+D164+D180+D188+D191+D207+D223</f>
        <v>234300.6</v>
      </c>
      <c r="G152" s="32"/>
      <c r="H152" s="32"/>
      <c r="I152" s="86"/>
      <c r="P152" s="30"/>
      <c r="Q152" s="30"/>
    </row>
    <row r="153" spans="1:17" ht="35.25">
      <c r="A153" s="266" t="s">
        <v>837</v>
      </c>
      <c r="B153" s="185" t="s">
        <v>5</v>
      </c>
      <c r="C153" s="147"/>
      <c r="D153" s="158">
        <f>D154+D158+D161+D164</f>
        <v>84518</v>
      </c>
      <c r="E153" s="118"/>
      <c r="G153" s="32"/>
      <c r="H153" s="32"/>
      <c r="I153" s="86"/>
      <c r="P153" s="30"/>
      <c r="Q153" s="30"/>
    </row>
    <row r="154" spans="1:17" ht="60">
      <c r="A154" s="152" t="s">
        <v>164</v>
      </c>
      <c r="B154" s="147" t="s">
        <v>1421</v>
      </c>
      <c r="C154" s="147"/>
      <c r="D154" s="158">
        <f>D155+D156+D157</f>
        <v>84124</v>
      </c>
      <c r="E154" s="118"/>
      <c r="G154" s="32"/>
      <c r="H154" s="32"/>
      <c r="I154" s="86"/>
      <c r="P154" s="30"/>
      <c r="Q154" s="30"/>
    </row>
    <row r="155" spans="1:17" ht="15">
      <c r="A155" s="157" t="s">
        <v>573</v>
      </c>
      <c r="B155" s="147" t="s">
        <v>1421</v>
      </c>
      <c r="C155" s="147" t="s">
        <v>574</v>
      </c>
      <c r="D155" s="158">
        <v>1200</v>
      </c>
      <c r="E155" s="118"/>
      <c r="G155" s="32"/>
      <c r="H155" s="32"/>
      <c r="I155" s="86"/>
      <c r="P155" s="30"/>
      <c r="Q155" s="30"/>
    </row>
    <row r="156" spans="1:17" ht="15">
      <c r="A156" s="157" t="s">
        <v>158</v>
      </c>
      <c r="B156" s="147" t="s">
        <v>1421</v>
      </c>
      <c r="C156" s="147" t="s">
        <v>1126</v>
      </c>
      <c r="D156" s="158">
        <v>81624</v>
      </c>
      <c r="E156" s="118"/>
      <c r="G156" s="32"/>
      <c r="H156" s="32"/>
      <c r="I156" s="86"/>
      <c r="P156" s="30"/>
      <c r="Q156" s="30"/>
    </row>
    <row r="157" spans="1:17" ht="24">
      <c r="A157" s="157" t="s">
        <v>796</v>
      </c>
      <c r="B157" s="147" t="s">
        <v>1421</v>
      </c>
      <c r="C157" s="150" t="s">
        <v>595</v>
      </c>
      <c r="D157" s="158">
        <v>1300</v>
      </c>
      <c r="E157" s="118"/>
      <c r="G157" s="32"/>
      <c r="H157" s="32"/>
      <c r="I157" s="86"/>
      <c r="P157" s="30"/>
      <c r="Q157" s="30"/>
    </row>
    <row r="158" spans="1:17" ht="48">
      <c r="A158" s="152" t="s">
        <v>187</v>
      </c>
      <c r="B158" s="147" t="s">
        <v>838</v>
      </c>
      <c r="C158" s="147"/>
      <c r="D158" s="158">
        <f>D159</f>
        <v>394</v>
      </c>
      <c r="E158" s="118"/>
      <c r="G158" s="32"/>
      <c r="H158" s="32"/>
      <c r="I158" s="86"/>
      <c r="P158" s="30"/>
      <c r="Q158" s="30"/>
    </row>
    <row r="159" spans="1:17" ht="15">
      <c r="A159" s="153" t="s">
        <v>530</v>
      </c>
      <c r="B159" s="147" t="s">
        <v>838</v>
      </c>
      <c r="C159" s="147" t="s">
        <v>531</v>
      </c>
      <c r="D159" s="158">
        <f>D160</f>
        <v>394</v>
      </c>
      <c r="E159" s="118"/>
      <c r="G159" s="32"/>
      <c r="H159" s="32"/>
      <c r="I159" s="86"/>
      <c r="P159" s="30"/>
      <c r="Q159" s="30"/>
    </row>
    <row r="160" spans="1:17" ht="24">
      <c r="A160" s="157" t="s">
        <v>1073</v>
      </c>
      <c r="B160" s="147" t="s">
        <v>838</v>
      </c>
      <c r="C160" s="147" t="s">
        <v>399</v>
      </c>
      <c r="D160" s="158">
        <v>394</v>
      </c>
      <c r="E160" s="118"/>
      <c r="G160" s="32"/>
      <c r="H160" s="32"/>
      <c r="I160" s="86"/>
      <c r="P160" s="30"/>
      <c r="Q160" s="30"/>
    </row>
    <row r="161" spans="1:17" ht="48">
      <c r="A161" s="152" t="s">
        <v>507</v>
      </c>
      <c r="B161" s="147" t="s">
        <v>6</v>
      </c>
      <c r="C161" s="147"/>
      <c r="D161" s="158">
        <f>D162</f>
        <v>0</v>
      </c>
      <c r="E161" s="118"/>
      <c r="G161" s="32"/>
      <c r="H161" s="32"/>
      <c r="I161" s="86"/>
      <c r="P161" s="30"/>
      <c r="Q161" s="30"/>
    </row>
    <row r="162" spans="1:17" ht="15">
      <c r="A162" s="153" t="s">
        <v>530</v>
      </c>
      <c r="B162" s="147" t="s">
        <v>6</v>
      </c>
      <c r="C162" s="147" t="s">
        <v>531</v>
      </c>
      <c r="D162" s="158">
        <f>D163</f>
        <v>0</v>
      </c>
      <c r="E162" s="118"/>
      <c r="G162" s="32"/>
      <c r="H162" s="32"/>
      <c r="I162" s="86"/>
      <c r="P162" s="30"/>
      <c r="Q162" s="30"/>
    </row>
    <row r="163" spans="1:17" ht="24">
      <c r="A163" s="152" t="s">
        <v>171</v>
      </c>
      <c r="B163" s="147" t="s">
        <v>6</v>
      </c>
      <c r="C163" s="147" t="s">
        <v>399</v>
      </c>
      <c r="D163" s="158">
        <f>3000-3000</f>
        <v>0</v>
      </c>
      <c r="E163" s="118"/>
      <c r="G163" s="32"/>
      <c r="H163" s="32"/>
      <c r="I163" s="86"/>
      <c r="P163" s="30"/>
      <c r="Q163" s="30"/>
    </row>
    <row r="164" spans="1:17" ht="24">
      <c r="A164" s="157" t="s">
        <v>671</v>
      </c>
      <c r="B164" s="147" t="s">
        <v>1422</v>
      </c>
      <c r="C164" s="150"/>
      <c r="D164" s="158">
        <f>D165</f>
        <v>0</v>
      </c>
      <c r="E164" s="118"/>
      <c r="G164" s="32"/>
      <c r="H164" s="32"/>
      <c r="I164" s="86"/>
      <c r="P164" s="30"/>
      <c r="Q164" s="30"/>
    </row>
    <row r="165" spans="1:17" ht="24">
      <c r="A165" s="152" t="s">
        <v>490</v>
      </c>
      <c r="B165" s="147" t="s">
        <v>1422</v>
      </c>
      <c r="C165" s="150" t="s">
        <v>489</v>
      </c>
      <c r="D165" s="158">
        <f>D166+D167</f>
        <v>0</v>
      </c>
      <c r="E165" s="118"/>
      <c r="G165" s="32"/>
      <c r="H165" s="32"/>
      <c r="I165" s="86"/>
      <c r="P165" s="30"/>
      <c r="Q165" s="30"/>
    </row>
    <row r="166" spans="1:17" ht="15">
      <c r="A166" s="157" t="s">
        <v>371</v>
      </c>
      <c r="B166" s="147" t="s">
        <v>1422</v>
      </c>
      <c r="C166" s="150" t="s">
        <v>574</v>
      </c>
      <c r="D166" s="158">
        <f>500-500</f>
        <v>0</v>
      </c>
      <c r="E166" s="118"/>
      <c r="G166" s="32"/>
      <c r="H166" s="32"/>
      <c r="I166" s="86"/>
      <c r="P166" s="30"/>
      <c r="Q166" s="30"/>
    </row>
    <row r="167" spans="1:17" ht="15">
      <c r="A167" s="157" t="s">
        <v>158</v>
      </c>
      <c r="B167" s="147" t="s">
        <v>1422</v>
      </c>
      <c r="C167" s="150" t="s">
        <v>1126</v>
      </c>
      <c r="D167" s="158">
        <f>700-700</f>
        <v>0</v>
      </c>
      <c r="E167" s="118"/>
      <c r="G167" s="32"/>
      <c r="H167" s="32"/>
      <c r="I167" s="86"/>
      <c r="P167" s="30"/>
      <c r="Q167" s="30"/>
    </row>
    <row r="168" spans="1:17" ht="22.5">
      <c r="A168" s="162" t="s">
        <v>1184</v>
      </c>
      <c r="B168" s="147" t="s">
        <v>1185</v>
      </c>
      <c r="C168" s="147"/>
      <c r="D168" s="234">
        <f>D169+D173+D176+D180</f>
        <v>1528615.5</v>
      </c>
      <c r="E168" s="118"/>
      <c r="G168" s="32"/>
      <c r="H168" s="32"/>
      <c r="I168" s="86"/>
      <c r="P168" s="30"/>
      <c r="Q168" s="30"/>
    </row>
    <row r="169" spans="1:17" ht="96">
      <c r="A169" s="152" t="s">
        <v>968</v>
      </c>
      <c r="B169" s="185" t="s">
        <v>1186</v>
      </c>
      <c r="C169" s="147"/>
      <c r="D169" s="154">
        <f>D170</f>
        <v>1321954</v>
      </c>
      <c r="E169" s="118"/>
      <c r="G169" s="32"/>
      <c r="H169" s="32"/>
      <c r="I169" s="86"/>
      <c r="P169" s="30"/>
      <c r="Q169" s="30"/>
    </row>
    <row r="170" spans="1:17" ht="24">
      <c r="A170" s="152" t="s">
        <v>490</v>
      </c>
      <c r="B170" s="185" t="s">
        <v>1186</v>
      </c>
      <c r="C170" s="147" t="s">
        <v>489</v>
      </c>
      <c r="D170" s="154">
        <f>D171+D172</f>
        <v>1321954</v>
      </c>
      <c r="E170" s="118"/>
      <c r="G170" s="32"/>
      <c r="H170" s="32"/>
      <c r="I170" s="86"/>
      <c r="P170" s="30"/>
      <c r="Q170" s="30"/>
    </row>
    <row r="171" spans="1:17" ht="15">
      <c r="A171" s="157" t="s">
        <v>371</v>
      </c>
      <c r="B171" s="185" t="s">
        <v>1186</v>
      </c>
      <c r="C171" s="147" t="s">
        <v>574</v>
      </c>
      <c r="D171" s="154">
        <f>100648+180+7308+1790+45+16</f>
        <v>109987</v>
      </c>
      <c r="E171" s="118"/>
      <c r="G171" s="32"/>
      <c r="H171" s="32"/>
      <c r="I171" s="86"/>
      <c r="P171" s="30"/>
      <c r="Q171" s="30"/>
    </row>
    <row r="172" spans="1:17" ht="15">
      <c r="A172" s="157" t="s">
        <v>1125</v>
      </c>
      <c r="B172" s="185" t="s">
        <v>1186</v>
      </c>
      <c r="C172" s="150" t="s">
        <v>1126</v>
      </c>
      <c r="D172" s="154">
        <f>1146882+11190+41000+9500+2661+734</f>
        <v>1211967</v>
      </c>
      <c r="E172" s="118"/>
      <c r="G172" s="32"/>
      <c r="H172" s="32"/>
      <c r="I172" s="86"/>
      <c r="P172" s="30"/>
      <c r="Q172" s="30"/>
    </row>
    <row r="173" spans="1:17" ht="108">
      <c r="A173" s="157" t="s">
        <v>589</v>
      </c>
      <c r="B173" s="150" t="s">
        <v>1187</v>
      </c>
      <c r="C173" s="150"/>
      <c r="D173" s="154">
        <f>D174</f>
        <v>15527</v>
      </c>
      <c r="E173" s="118"/>
      <c r="G173" s="32"/>
      <c r="H173" s="32"/>
      <c r="I173" s="86"/>
      <c r="P173" s="30"/>
      <c r="Q173" s="30"/>
    </row>
    <row r="174" spans="1:17" ht="24">
      <c r="A174" s="152" t="s">
        <v>490</v>
      </c>
      <c r="B174" s="150" t="s">
        <v>1187</v>
      </c>
      <c r="C174" s="150" t="s">
        <v>489</v>
      </c>
      <c r="D174" s="154">
        <f>D175</f>
        <v>15527</v>
      </c>
      <c r="E174" s="118"/>
      <c r="G174" s="32"/>
      <c r="H174" s="32"/>
      <c r="I174" s="86"/>
      <c r="P174" s="30"/>
      <c r="Q174" s="30"/>
    </row>
    <row r="175" spans="1:17" ht="24">
      <c r="A175" s="157" t="s">
        <v>796</v>
      </c>
      <c r="B175" s="150" t="s">
        <v>1187</v>
      </c>
      <c r="C175" s="150" t="s">
        <v>595</v>
      </c>
      <c r="D175" s="154">
        <f>16425-657-237-4</f>
        <v>15527</v>
      </c>
      <c r="E175" s="118"/>
      <c r="G175" s="32"/>
      <c r="H175" s="32"/>
      <c r="I175" s="86"/>
      <c r="P175" s="30"/>
      <c r="Q175" s="30"/>
    </row>
    <row r="176" spans="1:17" ht="36">
      <c r="A176" s="152" t="s">
        <v>189</v>
      </c>
      <c r="B176" s="147" t="s">
        <v>1188</v>
      </c>
      <c r="C176" s="147"/>
      <c r="D176" s="154">
        <f>D177</f>
        <v>0</v>
      </c>
      <c r="E176" s="118"/>
      <c r="G176" s="32"/>
      <c r="H176" s="32"/>
      <c r="I176" s="86"/>
      <c r="P176" s="30"/>
      <c r="Q176" s="30"/>
    </row>
    <row r="177" spans="1:17" ht="24">
      <c r="A177" s="152" t="s">
        <v>490</v>
      </c>
      <c r="B177" s="147" t="s">
        <v>1188</v>
      </c>
      <c r="C177" s="147" t="s">
        <v>489</v>
      </c>
      <c r="D177" s="154">
        <f>D178+D179</f>
        <v>0</v>
      </c>
      <c r="E177" s="118"/>
      <c r="G177" s="32"/>
      <c r="H177" s="32"/>
      <c r="I177" s="86"/>
      <c r="P177" s="30"/>
      <c r="Q177" s="30"/>
    </row>
    <row r="178" spans="1:17" ht="15">
      <c r="A178" s="157" t="s">
        <v>573</v>
      </c>
      <c r="B178" s="147" t="s">
        <v>1188</v>
      </c>
      <c r="C178" s="147" t="s">
        <v>574</v>
      </c>
      <c r="D178" s="154">
        <f>180-180</f>
        <v>0</v>
      </c>
      <c r="E178" s="118"/>
      <c r="G178" s="32"/>
      <c r="H178" s="32"/>
      <c r="I178" s="86"/>
      <c r="P178" s="30"/>
      <c r="Q178" s="30"/>
    </row>
    <row r="179" spans="1:17" ht="15">
      <c r="A179" s="157" t="s">
        <v>158</v>
      </c>
      <c r="B179" s="147" t="s">
        <v>1188</v>
      </c>
      <c r="C179" s="147" t="s">
        <v>1126</v>
      </c>
      <c r="D179" s="154">
        <f>11190-11190</f>
        <v>0</v>
      </c>
      <c r="E179" s="118"/>
      <c r="G179" s="32"/>
      <c r="H179" s="32"/>
      <c r="I179" s="86"/>
      <c r="P179" s="30"/>
      <c r="Q179" s="30"/>
    </row>
    <row r="180" spans="1:17" ht="24">
      <c r="A180" s="179" t="s">
        <v>1189</v>
      </c>
      <c r="B180" s="147" t="s">
        <v>1190</v>
      </c>
      <c r="C180" s="147"/>
      <c r="D180" s="154">
        <f>D181</f>
        <v>191134.5</v>
      </c>
      <c r="E180" s="118"/>
      <c r="G180" s="32"/>
      <c r="H180" s="32"/>
      <c r="I180" s="86"/>
      <c r="P180" s="30"/>
      <c r="Q180" s="30"/>
    </row>
    <row r="181" spans="1:17" ht="24">
      <c r="A181" s="152" t="s">
        <v>490</v>
      </c>
      <c r="B181" s="147" t="s">
        <v>1190</v>
      </c>
      <c r="C181" s="147" t="s">
        <v>489</v>
      </c>
      <c r="D181" s="154">
        <f>D182+D183</f>
        <v>191134.5</v>
      </c>
      <c r="E181" s="118"/>
      <c r="G181" s="32"/>
      <c r="H181" s="32"/>
      <c r="I181" s="86"/>
      <c r="P181" s="30"/>
      <c r="Q181" s="30"/>
    </row>
    <row r="182" spans="1:17" ht="15">
      <c r="A182" s="157" t="s">
        <v>371</v>
      </c>
      <c r="B182" s="147" t="s">
        <v>1190</v>
      </c>
      <c r="C182" s="150" t="s">
        <v>574</v>
      </c>
      <c r="D182" s="158">
        <f>2603+1660+513-500</f>
        <v>4276</v>
      </c>
      <c r="E182" s="118"/>
      <c r="G182" s="32"/>
      <c r="H182" s="32"/>
      <c r="I182" s="86"/>
      <c r="P182" s="30"/>
      <c r="Q182" s="30"/>
    </row>
    <row r="183" spans="1:17" ht="15">
      <c r="A183" s="157" t="s">
        <v>1125</v>
      </c>
      <c r="B183" s="147" t="s">
        <v>1190</v>
      </c>
      <c r="C183" s="150" t="s">
        <v>1126</v>
      </c>
      <c r="D183" s="158">
        <f>144054-2700-180+298+1000+34199.5+670-370+10687-794-6</f>
        <v>186858.5</v>
      </c>
      <c r="E183" s="118"/>
      <c r="G183" s="32"/>
      <c r="H183" s="32"/>
      <c r="I183" s="86"/>
      <c r="P183" s="30"/>
      <c r="Q183" s="30"/>
    </row>
    <row r="184" spans="1:17" ht="45">
      <c r="A184" s="162" t="s">
        <v>666</v>
      </c>
      <c r="B184" s="147" t="s">
        <v>1423</v>
      </c>
      <c r="C184" s="150"/>
      <c r="D184" s="158">
        <f>D185+D188+D191+D194</f>
        <v>125652.1</v>
      </c>
      <c r="E184" s="118"/>
      <c r="G184" s="32"/>
      <c r="H184" s="32"/>
      <c r="I184" s="86"/>
      <c r="P184" s="30"/>
      <c r="Q184" s="30"/>
    </row>
    <row r="185" spans="1:17" ht="24">
      <c r="A185" s="313" t="s">
        <v>1564</v>
      </c>
      <c r="B185" s="147" t="s">
        <v>1563</v>
      </c>
      <c r="C185" s="150"/>
      <c r="D185" s="158">
        <f>D186</f>
        <v>94834.3</v>
      </c>
      <c r="E185" s="118"/>
      <c r="G185" s="32"/>
      <c r="H185" s="32"/>
      <c r="I185" s="86"/>
      <c r="P185" s="30"/>
      <c r="Q185" s="30"/>
    </row>
    <row r="186" spans="1:17" ht="24">
      <c r="A186" s="152" t="s">
        <v>461</v>
      </c>
      <c r="B186" s="147" t="s">
        <v>1563</v>
      </c>
      <c r="C186" s="150" t="s">
        <v>1167</v>
      </c>
      <c r="D186" s="158">
        <f>D187</f>
        <v>94834.3</v>
      </c>
      <c r="E186" s="118"/>
      <c r="G186" s="32"/>
      <c r="H186" s="32"/>
      <c r="I186" s="86"/>
      <c r="P186" s="30"/>
      <c r="Q186" s="30"/>
    </row>
    <row r="187" spans="1:17" ht="36">
      <c r="A187" s="157" t="s">
        <v>1093</v>
      </c>
      <c r="B187" s="147" t="s">
        <v>1563</v>
      </c>
      <c r="C187" s="150" t="s">
        <v>881</v>
      </c>
      <c r="D187" s="158">
        <f>16453.44+78380.86</f>
        <v>94834.3</v>
      </c>
      <c r="E187" s="118"/>
      <c r="G187" s="32"/>
      <c r="H187" s="32"/>
      <c r="I187" s="86"/>
      <c r="P187" s="30"/>
      <c r="Q187" s="30"/>
    </row>
    <row r="188" spans="1:17" ht="24">
      <c r="A188" s="179" t="s">
        <v>1189</v>
      </c>
      <c r="B188" s="147" t="s">
        <v>1434</v>
      </c>
      <c r="C188" s="147"/>
      <c r="D188" s="158">
        <f>D189</f>
        <v>1700</v>
      </c>
      <c r="E188" s="118"/>
      <c r="G188" s="32"/>
      <c r="H188" s="32"/>
      <c r="I188" s="86"/>
      <c r="P188" s="30"/>
      <c r="Q188" s="30"/>
    </row>
    <row r="189" spans="1:17" ht="24">
      <c r="A189" s="179" t="s">
        <v>1189</v>
      </c>
      <c r="B189" s="147" t="s">
        <v>1434</v>
      </c>
      <c r="C189" s="147" t="s">
        <v>489</v>
      </c>
      <c r="D189" s="158">
        <f>D190</f>
        <v>1700</v>
      </c>
      <c r="E189" s="118"/>
      <c r="G189" s="32"/>
      <c r="H189" s="32"/>
      <c r="I189" s="86"/>
      <c r="P189" s="30"/>
      <c r="Q189" s="30"/>
    </row>
    <row r="190" spans="1:17" ht="15">
      <c r="A190" s="157" t="s">
        <v>1125</v>
      </c>
      <c r="B190" s="147" t="s">
        <v>1434</v>
      </c>
      <c r="C190" s="150" t="s">
        <v>1126</v>
      </c>
      <c r="D190" s="158">
        <f>200+1200+300</f>
        <v>1700</v>
      </c>
      <c r="E190" s="118"/>
      <c r="G190" s="32"/>
      <c r="H190" s="32"/>
      <c r="I190" s="86"/>
      <c r="P190" s="30"/>
      <c r="Q190" s="30"/>
    </row>
    <row r="191" spans="1:17" ht="15">
      <c r="A191" s="157" t="s">
        <v>834</v>
      </c>
      <c r="B191" s="147" t="s">
        <v>1424</v>
      </c>
      <c r="C191" s="150"/>
      <c r="D191" s="158">
        <f>D192</f>
        <v>8684</v>
      </c>
      <c r="E191" s="118"/>
      <c r="G191" s="32"/>
      <c r="H191" s="32"/>
      <c r="I191" s="86"/>
      <c r="P191" s="30"/>
      <c r="Q191" s="30"/>
    </row>
    <row r="192" spans="1:17" ht="24">
      <c r="A192" s="152" t="s">
        <v>461</v>
      </c>
      <c r="B192" s="147" t="s">
        <v>1424</v>
      </c>
      <c r="C192" s="150" t="s">
        <v>1167</v>
      </c>
      <c r="D192" s="158">
        <f>D193</f>
        <v>8684</v>
      </c>
      <c r="E192" s="118"/>
      <c r="G192" s="32"/>
      <c r="H192" s="32"/>
      <c r="I192" s="86"/>
      <c r="P192" s="30"/>
      <c r="Q192" s="30"/>
    </row>
    <row r="193" spans="1:17" ht="36">
      <c r="A193" s="157" t="s">
        <v>1093</v>
      </c>
      <c r="B193" s="147" t="s">
        <v>1424</v>
      </c>
      <c r="C193" s="150" t="s">
        <v>881</v>
      </c>
      <c r="D193" s="158">
        <f>9550+19567.8-20433.8</f>
        <v>8684</v>
      </c>
      <c r="E193" s="118"/>
      <c r="G193" s="32"/>
      <c r="H193" s="32"/>
      <c r="I193" s="86"/>
      <c r="P193" s="30"/>
      <c r="Q193" s="30"/>
    </row>
    <row r="194" spans="1:17" ht="15">
      <c r="A194" s="157" t="s">
        <v>1808</v>
      </c>
      <c r="B194" s="147" t="s">
        <v>1807</v>
      </c>
      <c r="C194" s="150"/>
      <c r="D194" s="158">
        <f>D195</f>
        <v>20433.8</v>
      </c>
      <c r="E194" s="118"/>
      <c r="G194" s="32"/>
      <c r="H194" s="32"/>
      <c r="I194" s="86"/>
      <c r="P194" s="30"/>
      <c r="Q194" s="30"/>
    </row>
    <row r="195" spans="1:17" ht="24">
      <c r="A195" s="152" t="s">
        <v>461</v>
      </c>
      <c r="B195" s="147" t="s">
        <v>1807</v>
      </c>
      <c r="C195" s="150" t="s">
        <v>1167</v>
      </c>
      <c r="D195" s="158">
        <f>D196</f>
        <v>20433.8</v>
      </c>
      <c r="E195" s="118"/>
      <c r="G195" s="32"/>
      <c r="H195" s="32"/>
      <c r="I195" s="86"/>
      <c r="P195" s="30"/>
      <c r="Q195" s="30"/>
    </row>
    <row r="196" spans="1:17" ht="36">
      <c r="A196" s="157" t="s">
        <v>444</v>
      </c>
      <c r="B196" s="147" t="s">
        <v>1807</v>
      </c>
      <c r="C196" s="150" t="s">
        <v>881</v>
      </c>
      <c r="D196" s="158">
        <v>20433.8</v>
      </c>
      <c r="E196" s="118"/>
      <c r="G196" s="32"/>
      <c r="H196" s="32"/>
      <c r="I196" s="86"/>
      <c r="P196" s="30"/>
      <c r="Q196" s="30"/>
    </row>
    <row r="197" spans="1:17" ht="22.5">
      <c r="A197" s="162" t="s">
        <v>667</v>
      </c>
      <c r="B197" s="147" t="s">
        <v>668</v>
      </c>
      <c r="C197" s="150"/>
      <c r="D197" s="158">
        <f>D198+D201+D207+D204+D211+D214</f>
        <v>146675.1</v>
      </c>
      <c r="E197" s="118"/>
      <c r="G197" s="32"/>
      <c r="H197" s="32"/>
      <c r="I197" s="86"/>
      <c r="P197" s="30"/>
      <c r="Q197" s="30"/>
    </row>
    <row r="198" spans="1:17" ht="48">
      <c r="A198" s="312" t="s">
        <v>1740</v>
      </c>
      <c r="B198" s="147" t="s">
        <v>1773</v>
      </c>
      <c r="C198" s="147"/>
      <c r="D198" s="158">
        <f>D199</f>
        <v>1000</v>
      </c>
      <c r="E198" s="118"/>
      <c r="G198" s="32"/>
      <c r="H198" s="32"/>
      <c r="I198" s="86"/>
      <c r="P198" s="30"/>
      <c r="Q198" s="30"/>
    </row>
    <row r="199" spans="1:17" ht="24">
      <c r="A199" s="152" t="s">
        <v>490</v>
      </c>
      <c r="B199" s="147" t="s">
        <v>1773</v>
      </c>
      <c r="C199" s="147" t="s">
        <v>489</v>
      </c>
      <c r="D199" s="158">
        <f>D200</f>
        <v>1000</v>
      </c>
      <c r="E199" s="118"/>
      <c r="G199" s="32"/>
      <c r="H199" s="32"/>
      <c r="I199" s="86"/>
      <c r="P199" s="30"/>
      <c r="Q199" s="30"/>
    </row>
    <row r="200" spans="1:17" ht="15">
      <c r="A200" s="157" t="s">
        <v>1125</v>
      </c>
      <c r="B200" s="147" t="s">
        <v>1773</v>
      </c>
      <c r="C200" s="147" t="s">
        <v>1126</v>
      </c>
      <c r="D200" s="158">
        <v>1000</v>
      </c>
      <c r="E200" s="118"/>
      <c r="G200" s="32"/>
      <c r="H200" s="32"/>
      <c r="I200" s="86"/>
      <c r="P200" s="30"/>
      <c r="Q200" s="30"/>
    </row>
    <row r="201" spans="1:17" ht="24">
      <c r="A201" s="327" t="s">
        <v>1261</v>
      </c>
      <c r="B201" s="147" t="s">
        <v>1262</v>
      </c>
      <c r="C201" s="147"/>
      <c r="D201" s="158">
        <f>D202</f>
        <v>18332</v>
      </c>
      <c r="E201" s="118"/>
      <c r="G201" s="32"/>
      <c r="H201" s="32"/>
      <c r="I201" s="86"/>
      <c r="P201" s="30"/>
      <c r="Q201" s="30"/>
    </row>
    <row r="202" spans="1:17" ht="15">
      <c r="A202" s="153" t="s">
        <v>974</v>
      </c>
      <c r="B202" s="147" t="s">
        <v>1262</v>
      </c>
      <c r="C202" s="147" t="s">
        <v>529</v>
      </c>
      <c r="D202" s="158">
        <f>D203</f>
        <v>18332</v>
      </c>
      <c r="E202" s="118"/>
      <c r="G202" s="32"/>
      <c r="H202" s="32"/>
      <c r="I202" s="86"/>
      <c r="P202" s="30"/>
      <c r="Q202" s="30"/>
    </row>
    <row r="203" spans="1:17" ht="15">
      <c r="A203" s="153" t="s">
        <v>931</v>
      </c>
      <c r="B203" s="147" t="s">
        <v>1262</v>
      </c>
      <c r="C203" s="147" t="s">
        <v>429</v>
      </c>
      <c r="D203" s="158">
        <f>18332</f>
        <v>18332</v>
      </c>
      <c r="E203" s="118"/>
      <c r="G203" s="32"/>
      <c r="H203" s="32"/>
      <c r="I203" s="86"/>
      <c r="P203" s="30"/>
      <c r="Q203" s="30"/>
    </row>
    <row r="204" spans="1:17" ht="36">
      <c r="A204" s="327" t="s">
        <v>1774</v>
      </c>
      <c r="B204" s="147" t="s">
        <v>1797</v>
      </c>
      <c r="C204" s="147"/>
      <c r="D204" s="158">
        <f>D205</f>
        <v>10492</v>
      </c>
      <c r="E204" s="118"/>
      <c r="G204" s="32"/>
      <c r="H204" s="32"/>
      <c r="I204" s="86"/>
      <c r="P204" s="30"/>
      <c r="Q204" s="30"/>
    </row>
    <row r="205" spans="1:17" ht="15">
      <c r="A205" s="153" t="s">
        <v>974</v>
      </c>
      <c r="B205" s="147" t="s">
        <v>1797</v>
      </c>
      <c r="C205" s="147" t="s">
        <v>529</v>
      </c>
      <c r="D205" s="158">
        <f>D206</f>
        <v>10492</v>
      </c>
      <c r="E205" s="118"/>
      <c r="G205" s="32"/>
      <c r="H205" s="32"/>
      <c r="I205" s="86"/>
      <c r="P205" s="30"/>
      <c r="Q205" s="30"/>
    </row>
    <row r="206" spans="1:17" ht="15">
      <c r="A206" s="153" t="s">
        <v>931</v>
      </c>
      <c r="B206" s="147" t="s">
        <v>1797</v>
      </c>
      <c r="C206" s="147" t="s">
        <v>429</v>
      </c>
      <c r="D206" s="158">
        <v>10492</v>
      </c>
      <c r="E206" s="118"/>
      <c r="G206" s="32"/>
      <c r="H206" s="32"/>
      <c r="I206" s="86"/>
      <c r="P206" s="30"/>
      <c r="Q206" s="30"/>
    </row>
    <row r="207" spans="1:17" ht="24">
      <c r="A207" s="179" t="s">
        <v>1189</v>
      </c>
      <c r="B207" s="147" t="s">
        <v>669</v>
      </c>
      <c r="C207" s="150"/>
      <c r="D207" s="158">
        <f>D208</f>
        <v>16801.1</v>
      </c>
      <c r="E207" s="118"/>
      <c r="G207" s="32"/>
      <c r="H207" s="32"/>
      <c r="I207" s="86"/>
      <c r="P207" s="30"/>
      <c r="Q207" s="30"/>
    </row>
    <row r="208" spans="1:17" ht="24">
      <c r="A208" s="152" t="s">
        <v>490</v>
      </c>
      <c r="B208" s="147" t="s">
        <v>669</v>
      </c>
      <c r="C208" s="150" t="s">
        <v>489</v>
      </c>
      <c r="D208" s="158">
        <f>D209+D210</f>
        <v>16801.1</v>
      </c>
      <c r="E208" s="118"/>
      <c r="G208" s="32"/>
      <c r="H208" s="32"/>
      <c r="I208" s="86"/>
      <c r="P208" s="30"/>
      <c r="Q208" s="30"/>
    </row>
    <row r="209" spans="1:17" ht="15">
      <c r="A209" s="157" t="s">
        <v>371</v>
      </c>
      <c r="B209" s="147" t="s">
        <v>669</v>
      </c>
      <c r="C209" s="150" t="s">
        <v>574</v>
      </c>
      <c r="D209" s="158"/>
      <c r="E209" s="118"/>
      <c r="G209" s="32"/>
      <c r="H209" s="32"/>
      <c r="I209" s="86"/>
      <c r="P209" s="30"/>
      <c r="Q209" s="30"/>
    </row>
    <row r="210" spans="1:17" ht="15">
      <c r="A210" s="157" t="s">
        <v>1125</v>
      </c>
      <c r="B210" s="147" t="s">
        <v>669</v>
      </c>
      <c r="C210" s="150" t="s">
        <v>1126</v>
      </c>
      <c r="D210" s="158">
        <f>300+180+1150+4000+30-300+195+5121+10794.1+50+15+370+5365+23+44-10486-50</f>
        <v>16801.1</v>
      </c>
      <c r="E210" s="118"/>
      <c r="G210" s="32"/>
      <c r="H210" s="32"/>
      <c r="I210" s="86"/>
      <c r="P210" s="30"/>
      <c r="Q210" s="30"/>
    </row>
    <row r="211" spans="1:17" ht="48">
      <c r="A211" s="157" t="s">
        <v>1806</v>
      </c>
      <c r="B211" s="147" t="s">
        <v>1805</v>
      </c>
      <c r="C211" s="150"/>
      <c r="D211" s="158">
        <f>D212</f>
        <v>50</v>
      </c>
      <c r="E211" s="118"/>
      <c r="G211" s="32"/>
      <c r="H211" s="32"/>
      <c r="I211" s="86"/>
      <c r="P211" s="30"/>
      <c r="Q211" s="30"/>
    </row>
    <row r="212" spans="1:17" ht="24">
      <c r="A212" s="152" t="s">
        <v>490</v>
      </c>
      <c r="B212" s="147" t="s">
        <v>1805</v>
      </c>
      <c r="C212" s="150" t="s">
        <v>489</v>
      </c>
      <c r="D212" s="158">
        <f>D213</f>
        <v>50</v>
      </c>
      <c r="E212" s="118"/>
      <c r="G212" s="32"/>
      <c r="H212" s="32"/>
      <c r="I212" s="86"/>
      <c r="P212" s="30"/>
      <c r="Q212" s="30"/>
    </row>
    <row r="213" spans="1:17" ht="15">
      <c r="A213" s="157" t="s">
        <v>1125</v>
      </c>
      <c r="B213" s="147" t="s">
        <v>1805</v>
      </c>
      <c r="C213" s="150" t="s">
        <v>1126</v>
      </c>
      <c r="D213" s="158">
        <v>50</v>
      </c>
      <c r="E213" s="118"/>
      <c r="G213" s="32"/>
      <c r="H213" s="32"/>
      <c r="I213" s="86"/>
      <c r="P213" s="30"/>
      <c r="Q213" s="30"/>
    </row>
    <row r="214" spans="1:17" ht="24">
      <c r="A214" s="115" t="s">
        <v>1796</v>
      </c>
      <c r="B214" s="147" t="s">
        <v>1795</v>
      </c>
      <c r="C214" s="150"/>
      <c r="D214" s="158">
        <f>D215</f>
        <v>100000</v>
      </c>
      <c r="E214" s="118"/>
      <c r="G214" s="32"/>
      <c r="H214" s="32"/>
      <c r="I214" s="86"/>
      <c r="P214" s="30"/>
      <c r="Q214" s="30"/>
    </row>
    <row r="215" spans="1:17" ht="24">
      <c r="A215" s="153" t="s">
        <v>461</v>
      </c>
      <c r="B215" s="147" t="s">
        <v>1795</v>
      </c>
      <c r="C215" s="150" t="s">
        <v>1167</v>
      </c>
      <c r="D215" s="158">
        <f>D216</f>
        <v>100000</v>
      </c>
      <c r="E215" s="118"/>
      <c r="G215" s="32"/>
      <c r="H215" s="32"/>
      <c r="I215" s="86"/>
      <c r="P215" s="30"/>
      <c r="Q215" s="30"/>
    </row>
    <row r="216" spans="1:17" ht="15">
      <c r="A216" s="153" t="s">
        <v>1083</v>
      </c>
      <c r="B216" s="147" t="s">
        <v>1795</v>
      </c>
      <c r="C216" s="150" t="s">
        <v>825</v>
      </c>
      <c r="D216" s="158">
        <v>100000</v>
      </c>
      <c r="E216" s="118"/>
      <c r="G216" s="32"/>
      <c r="H216" s="32"/>
      <c r="I216" s="86"/>
      <c r="P216" s="30"/>
      <c r="Q216" s="30"/>
    </row>
    <row r="217" spans="1:17" ht="33.75">
      <c r="A217" s="162" t="s">
        <v>672</v>
      </c>
      <c r="B217" s="147" t="s">
        <v>670</v>
      </c>
      <c r="C217" s="150"/>
      <c r="D217" s="158">
        <f>D218+D223</f>
        <v>19013</v>
      </c>
      <c r="E217" s="118"/>
      <c r="G217" s="32"/>
      <c r="H217" s="32"/>
      <c r="I217" s="86"/>
      <c r="P217" s="30"/>
      <c r="Q217" s="30"/>
    </row>
    <row r="218" spans="1:17" ht="60">
      <c r="A218" s="157" t="s">
        <v>188</v>
      </c>
      <c r="B218" s="147" t="s">
        <v>1426</v>
      </c>
      <c r="C218" s="147"/>
      <c r="D218" s="158">
        <f>D219+D221</f>
        <v>3032</v>
      </c>
      <c r="E218" s="118"/>
      <c r="G218" s="32"/>
      <c r="H218" s="32"/>
      <c r="I218" s="86"/>
      <c r="P218" s="30"/>
      <c r="Q218" s="30"/>
    </row>
    <row r="219" spans="1:17" ht="15">
      <c r="A219" s="153" t="s">
        <v>530</v>
      </c>
      <c r="B219" s="147" t="s">
        <v>1426</v>
      </c>
      <c r="C219" s="147" t="s">
        <v>531</v>
      </c>
      <c r="D219" s="158">
        <f>D220</f>
        <v>190</v>
      </c>
      <c r="E219" s="118"/>
      <c r="G219" s="32"/>
      <c r="H219" s="32"/>
      <c r="I219" s="86"/>
      <c r="P219" s="30"/>
      <c r="Q219" s="30"/>
    </row>
    <row r="220" spans="1:17" ht="24">
      <c r="A220" s="157" t="s">
        <v>1073</v>
      </c>
      <c r="B220" s="147" t="s">
        <v>1426</v>
      </c>
      <c r="C220" s="147" t="s">
        <v>399</v>
      </c>
      <c r="D220" s="158">
        <f>190</f>
        <v>190</v>
      </c>
      <c r="E220" s="118"/>
      <c r="G220" s="32"/>
      <c r="H220" s="32"/>
      <c r="I220" s="86"/>
      <c r="P220" s="30"/>
      <c r="Q220" s="30"/>
    </row>
    <row r="221" spans="1:17" ht="24">
      <c r="A221" s="152" t="s">
        <v>490</v>
      </c>
      <c r="B221" s="147" t="s">
        <v>1426</v>
      </c>
      <c r="C221" s="147" t="s">
        <v>489</v>
      </c>
      <c r="D221" s="158">
        <f>D222</f>
        <v>2842</v>
      </c>
      <c r="E221" s="118"/>
      <c r="G221" s="32"/>
      <c r="H221" s="32"/>
      <c r="I221" s="86"/>
      <c r="P221" s="30"/>
      <c r="Q221" s="30"/>
    </row>
    <row r="222" spans="1:17" ht="15">
      <c r="A222" s="157" t="s">
        <v>573</v>
      </c>
      <c r="B222" s="147" t="s">
        <v>1426</v>
      </c>
      <c r="C222" s="147" t="s">
        <v>574</v>
      </c>
      <c r="D222" s="158">
        <f>3032-190</f>
        <v>2842</v>
      </c>
      <c r="E222" s="118"/>
      <c r="G222" s="32"/>
      <c r="H222" s="32"/>
      <c r="I222" s="86"/>
      <c r="P222" s="30"/>
      <c r="Q222" s="30"/>
    </row>
    <row r="223" spans="1:17" ht="36">
      <c r="A223" s="157" t="s">
        <v>539</v>
      </c>
      <c r="B223" s="147" t="s">
        <v>1427</v>
      </c>
      <c r="C223" s="150"/>
      <c r="D223" s="158">
        <f>D224</f>
        <v>15981</v>
      </c>
      <c r="E223" s="118"/>
      <c r="G223" s="32"/>
      <c r="H223" s="32"/>
      <c r="I223" s="86"/>
      <c r="P223" s="30"/>
      <c r="Q223" s="30"/>
    </row>
    <row r="224" spans="1:17" ht="24">
      <c r="A224" s="152" t="s">
        <v>490</v>
      </c>
      <c r="B224" s="147" t="s">
        <v>1427</v>
      </c>
      <c r="C224" s="150" t="s">
        <v>489</v>
      </c>
      <c r="D224" s="158">
        <f>D225</f>
        <v>15981</v>
      </c>
      <c r="E224" s="118"/>
      <c r="G224" s="32"/>
      <c r="H224" s="32"/>
      <c r="I224" s="86"/>
      <c r="P224" s="30"/>
      <c r="Q224" s="30"/>
    </row>
    <row r="225" spans="1:17" ht="15">
      <c r="A225" s="157" t="s">
        <v>371</v>
      </c>
      <c r="B225" s="147" t="s">
        <v>1427</v>
      </c>
      <c r="C225" s="150" t="s">
        <v>574</v>
      </c>
      <c r="D225" s="158">
        <f>13466+2615-1000+1300-400</f>
        <v>15981</v>
      </c>
      <c r="E225" s="118"/>
      <c r="G225" s="32"/>
      <c r="H225" s="32"/>
      <c r="I225" s="86"/>
      <c r="P225" s="30"/>
      <c r="Q225" s="30"/>
    </row>
    <row r="226" spans="1:17" ht="24">
      <c r="A226" s="260" t="s">
        <v>1746</v>
      </c>
      <c r="B226" s="150" t="s">
        <v>643</v>
      </c>
      <c r="C226" s="150"/>
      <c r="D226" s="158">
        <f>D229+D258+D262+D246+D242</f>
        <v>344200</v>
      </c>
      <c r="E226" s="63">
        <f>D247</f>
        <v>8364</v>
      </c>
      <c r="F226" s="63">
        <f>D238+D252+D259+D263</f>
        <v>332986.9</v>
      </c>
      <c r="P226" s="30"/>
      <c r="Q226" s="30"/>
    </row>
    <row r="227" spans="1:17" ht="24" hidden="1">
      <c r="A227" s="152" t="s">
        <v>97</v>
      </c>
      <c r="B227" s="150"/>
      <c r="C227" s="150"/>
      <c r="D227" s="158"/>
      <c r="P227" s="30"/>
      <c r="Q227" s="30"/>
    </row>
    <row r="228" spans="1:17" ht="15" hidden="1">
      <c r="A228" s="152" t="s">
        <v>371</v>
      </c>
      <c r="B228" s="150"/>
      <c r="C228" s="150"/>
      <c r="D228" s="158"/>
      <c r="P228" s="30"/>
      <c r="Q228" s="30"/>
    </row>
    <row r="229" spans="1:17" ht="68.25">
      <c r="A229" s="162" t="s">
        <v>540</v>
      </c>
      <c r="B229" s="147" t="s">
        <v>642</v>
      </c>
      <c r="C229" s="147"/>
      <c r="D229" s="158">
        <f>D230+D234+D238</f>
        <v>289114.9</v>
      </c>
      <c r="P229" s="30"/>
      <c r="Q229" s="30"/>
    </row>
    <row r="230" spans="1:17" ht="48">
      <c r="A230" s="326" t="s">
        <v>1767</v>
      </c>
      <c r="B230" s="147" t="s">
        <v>1768</v>
      </c>
      <c r="C230" s="147"/>
      <c r="D230" s="325">
        <f>D231</f>
        <v>2085</v>
      </c>
      <c r="P230" s="30"/>
      <c r="Q230" s="30"/>
    </row>
    <row r="231" spans="1:17" ht="24">
      <c r="A231" s="152" t="s">
        <v>490</v>
      </c>
      <c r="B231" s="147" t="s">
        <v>1768</v>
      </c>
      <c r="C231" s="147" t="s">
        <v>489</v>
      </c>
      <c r="D231" s="325">
        <f>D232+D233</f>
        <v>2085</v>
      </c>
      <c r="P231" s="30"/>
      <c r="Q231" s="30"/>
    </row>
    <row r="232" spans="1:17" ht="15">
      <c r="A232" s="157" t="s">
        <v>573</v>
      </c>
      <c r="B232" s="147" t="s">
        <v>1768</v>
      </c>
      <c r="C232" s="147" t="s">
        <v>574</v>
      </c>
      <c r="D232" s="158">
        <f>1750+171</f>
        <v>1921</v>
      </c>
      <c r="P232" s="30"/>
      <c r="Q232" s="30"/>
    </row>
    <row r="233" spans="1:17" ht="15">
      <c r="A233" s="157" t="s">
        <v>1125</v>
      </c>
      <c r="B233" s="147" t="s">
        <v>1768</v>
      </c>
      <c r="C233" s="147" t="s">
        <v>1126</v>
      </c>
      <c r="D233" s="158">
        <v>164</v>
      </c>
      <c r="P233" s="30"/>
      <c r="Q233" s="30"/>
    </row>
    <row r="234" spans="1:17" ht="36">
      <c r="A234" s="326" t="s">
        <v>1803</v>
      </c>
      <c r="B234" s="147" t="s">
        <v>1804</v>
      </c>
      <c r="C234" s="147"/>
      <c r="D234" s="325">
        <f>D235</f>
        <v>156</v>
      </c>
      <c r="P234" s="30"/>
      <c r="Q234" s="30"/>
    </row>
    <row r="235" spans="1:17" ht="24">
      <c r="A235" s="152" t="s">
        <v>490</v>
      </c>
      <c r="B235" s="147" t="s">
        <v>1804</v>
      </c>
      <c r="C235" s="150" t="s">
        <v>489</v>
      </c>
      <c r="D235" s="325">
        <f>D236+D237</f>
        <v>156</v>
      </c>
      <c r="P235" s="30"/>
      <c r="Q235" s="30"/>
    </row>
    <row r="236" spans="1:17" ht="15">
      <c r="A236" s="157" t="s">
        <v>371</v>
      </c>
      <c r="B236" s="147" t="s">
        <v>1804</v>
      </c>
      <c r="C236" s="150" t="s">
        <v>574</v>
      </c>
      <c r="D236" s="158">
        <f>130+14</f>
        <v>144</v>
      </c>
      <c r="P236" s="30"/>
      <c r="Q236" s="30"/>
    </row>
    <row r="237" spans="1:17" ht="15">
      <c r="A237" s="157" t="s">
        <v>1125</v>
      </c>
      <c r="B237" s="147" t="s">
        <v>1804</v>
      </c>
      <c r="C237" s="150" t="s">
        <v>1126</v>
      </c>
      <c r="D237" s="158">
        <v>12</v>
      </c>
      <c r="P237" s="30"/>
      <c r="Q237" s="30"/>
    </row>
    <row r="238" spans="1:17" ht="24">
      <c r="A238" s="157" t="s">
        <v>641</v>
      </c>
      <c r="B238" s="147" t="s">
        <v>644</v>
      </c>
      <c r="C238" s="147"/>
      <c r="D238" s="158">
        <f>D239</f>
        <v>286873.9</v>
      </c>
      <c r="P238" s="30"/>
      <c r="Q238" s="30"/>
    </row>
    <row r="239" spans="1:17" ht="24">
      <c r="A239" s="152" t="s">
        <v>490</v>
      </c>
      <c r="B239" s="147" t="s">
        <v>644</v>
      </c>
      <c r="C239" s="150" t="s">
        <v>489</v>
      </c>
      <c r="D239" s="158">
        <f>D240+D241</f>
        <v>286873.9</v>
      </c>
      <c r="P239" s="30"/>
      <c r="Q239" s="30"/>
    </row>
    <row r="240" spans="1:17" ht="15">
      <c r="A240" s="157" t="s">
        <v>371</v>
      </c>
      <c r="B240" s="147" t="s">
        <v>644</v>
      </c>
      <c r="C240" s="150" t="s">
        <v>574</v>
      </c>
      <c r="D240" s="158">
        <f>252051+1000-336+8350+700+80-80+2982+1955.9-250-17500+8105-130-14</f>
        <v>256913.90000000002</v>
      </c>
      <c r="P240" s="30"/>
      <c r="Q240" s="30"/>
    </row>
    <row r="241" spans="1:17" ht="15">
      <c r="A241" s="157" t="s">
        <v>1125</v>
      </c>
      <c r="B241" s="147" t="s">
        <v>644</v>
      </c>
      <c r="C241" s="147" t="s">
        <v>1126</v>
      </c>
      <c r="D241" s="158">
        <f>28572+1445+55-100-12</f>
        <v>29960</v>
      </c>
      <c r="P241" s="30"/>
      <c r="Q241" s="30"/>
    </row>
    <row r="242" spans="1:17" ht="22.5">
      <c r="A242" s="162" t="s">
        <v>1809</v>
      </c>
      <c r="B242" s="147" t="s">
        <v>1810</v>
      </c>
      <c r="C242" s="150"/>
      <c r="D242" s="325">
        <f>D243</f>
        <v>608.1</v>
      </c>
      <c r="P242" s="30"/>
      <c r="Q242" s="30"/>
    </row>
    <row r="243" spans="1:17" ht="24">
      <c r="A243" s="157" t="s">
        <v>641</v>
      </c>
      <c r="B243" s="147" t="s">
        <v>1811</v>
      </c>
      <c r="C243" s="147"/>
      <c r="D243" s="325">
        <f>D244</f>
        <v>608.1</v>
      </c>
      <c r="P243" s="30"/>
      <c r="Q243" s="30"/>
    </row>
    <row r="244" spans="1:17" ht="24">
      <c r="A244" s="152" t="s">
        <v>490</v>
      </c>
      <c r="B244" s="147" t="s">
        <v>1811</v>
      </c>
      <c r="C244" s="150" t="s">
        <v>489</v>
      </c>
      <c r="D244" s="325">
        <f>D245</f>
        <v>608.1</v>
      </c>
      <c r="P244" s="30"/>
      <c r="Q244" s="30"/>
    </row>
    <row r="245" spans="1:17" ht="15">
      <c r="A245" s="157" t="s">
        <v>371</v>
      </c>
      <c r="B245" s="147" t="s">
        <v>1811</v>
      </c>
      <c r="C245" s="150" t="s">
        <v>574</v>
      </c>
      <c r="D245" s="158">
        <v>608.1</v>
      </c>
      <c r="P245" s="30"/>
      <c r="Q245" s="30"/>
    </row>
    <row r="246" spans="1:17" ht="33.75">
      <c r="A246" s="162" t="s">
        <v>807</v>
      </c>
      <c r="B246" s="147" t="s">
        <v>802</v>
      </c>
      <c r="C246" s="147"/>
      <c r="D246" s="158">
        <f>D247+D252</f>
        <v>27364</v>
      </c>
      <c r="P246" s="30"/>
      <c r="Q246" s="30"/>
    </row>
    <row r="247" spans="1:17" ht="36">
      <c r="A247" s="152" t="s">
        <v>1569</v>
      </c>
      <c r="B247" s="147" t="s">
        <v>1433</v>
      </c>
      <c r="C247" s="147"/>
      <c r="D247" s="158">
        <f>D248+D250</f>
        <v>8364</v>
      </c>
      <c r="P247" s="30"/>
      <c r="Q247" s="30"/>
    </row>
    <row r="248" spans="1:17" ht="15">
      <c r="A248" s="153" t="s">
        <v>530</v>
      </c>
      <c r="B248" s="147" t="s">
        <v>1433</v>
      </c>
      <c r="C248" s="147" t="s">
        <v>531</v>
      </c>
      <c r="D248" s="158">
        <f>D249</f>
        <v>4783.8</v>
      </c>
      <c r="P248" s="30"/>
      <c r="Q248" s="30"/>
    </row>
    <row r="249" spans="1:17" ht="24">
      <c r="A249" s="152" t="s">
        <v>171</v>
      </c>
      <c r="B249" s="147" t="s">
        <v>1433</v>
      </c>
      <c r="C249" s="147" t="s">
        <v>399</v>
      </c>
      <c r="D249" s="158">
        <f>8364-3484-96.2</f>
        <v>4783.8</v>
      </c>
      <c r="P249" s="30"/>
      <c r="Q249" s="30"/>
    </row>
    <row r="250" spans="1:17" ht="24">
      <c r="A250" s="152" t="s">
        <v>490</v>
      </c>
      <c r="B250" s="147" t="s">
        <v>1433</v>
      </c>
      <c r="C250" s="147" t="s">
        <v>489</v>
      </c>
      <c r="D250" s="158">
        <f>D251</f>
        <v>3580.2</v>
      </c>
      <c r="P250" s="30"/>
      <c r="Q250" s="30"/>
    </row>
    <row r="251" spans="1:17" ht="15">
      <c r="A251" s="157" t="s">
        <v>1125</v>
      </c>
      <c r="B251" s="147" t="s">
        <v>1433</v>
      </c>
      <c r="C251" s="147" t="s">
        <v>1126</v>
      </c>
      <c r="D251" s="158">
        <f>3484+96.2</f>
        <v>3580.2</v>
      </c>
      <c r="P251" s="30"/>
      <c r="Q251" s="30"/>
    </row>
    <row r="252" spans="1:17" ht="24">
      <c r="A252" s="152" t="s">
        <v>84</v>
      </c>
      <c r="B252" s="147" t="s">
        <v>1432</v>
      </c>
      <c r="C252" s="147"/>
      <c r="D252" s="158">
        <f>D253+D255</f>
        <v>19000</v>
      </c>
      <c r="P252" s="30"/>
      <c r="Q252" s="30"/>
    </row>
    <row r="253" spans="1:17" ht="15">
      <c r="A253" s="153" t="s">
        <v>530</v>
      </c>
      <c r="B253" s="147" t="s">
        <v>1432</v>
      </c>
      <c r="C253" s="147" t="s">
        <v>531</v>
      </c>
      <c r="D253" s="158">
        <f>D254</f>
        <v>3250</v>
      </c>
      <c r="P253" s="30"/>
      <c r="Q253" s="30"/>
    </row>
    <row r="254" spans="1:17" ht="24">
      <c r="A254" s="152" t="s">
        <v>171</v>
      </c>
      <c r="B254" s="147" t="s">
        <v>1432</v>
      </c>
      <c r="C254" s="147" t="s">
        <v>399</v>
      </c>
      <c r="D254" s="158">
        <f>2800+450</f>
        <v>3250</v>
      </c>
      <c r="P254" s="30"/>
      <c r="Q254" s="30"/>
    </row>
    <row r="255" spans="1:17" ht="24">
      <c r="A255" s="152" t="s">
        <v>490</v>
      </c>
      <c r="B255" s="147" t="s">
        <v>1432</v>
      </c>
      <c r="C255" s="147" t="s">
        <v>489</v>
      </c>
      <c r="D255" s="158">
        <f>D257+D256</f>
        <v>15750</v>
      </c>
      <c r="P255" s="30"/>
      <c r="Q255" s="30"/>
    </row>
    <row r="256" spans="1:17" ht="15">
      <c r="A256" s="157" t="s">
        <v>573</v>
      </c>
      <c r="B256" s="147" t="s">
        <v>1432</v>
      </c>
      <c r="C256" s="147" t="s">
        <v>574</v>
      </c>
      <c r="D256" s="158">
        <f>19000-192-13305-42.5+110</f>
        <v>5570.5</v>
      </c>
      <c r="P256" s="30"/>
      <c r="Q256" s="30"/>
    </row>
    <row r="257" spans="1:17" ht="15">
      <c r="A257" s="157" t="s">
        <v>1125</v>
      </c>
      <c r="B257" s="147" t="s">
        <v>1432</v>
      </c>
      <c r="C257" s="147" t="s">
        <v>1126</v>
      </c>
      <c r="D257" s="158">
        <f>192+10505+42.5-560</f>
        <v>10179.5</v>
      </c>
      <c r="P257" s="30"/>
      <c r="Q257" s="30"/>
    </row>
    <row r="258" spans="1:17" ht="33.75">
      <c r="A258" s="162" t="s">
        <v>645</v>
      </c>
      <c r="B258" s="147" t="s">
        <v>1428</v>
      </c>
      <c r="C258" s="150"/>
      <c r="D258" s="158">
        <f>D259</f>
        <v>26863</v>
      </c>
      <c r="P258" s="30"/>
      <c r="Q258" s="30"/>
    </row>
    <row r="259" spans="1:17" ht="36">
      <c r="A259" s="157" t="s">
        <v>646</v>
      </c>
      <c r="B259" s="147" t="s">
        <v>1429</v>
      </c>
      <c r="C259" s="150"/>
      <c r="D259" s="158">
        <f>D260</f>
        <v>26863</v>
      </c>
      <c r="P259" s="30"/>
      <c r="Q259" s="30"/>
    </row>
    <row r="260" spans="1:17" ht="24">
      <c r="A260" s="152" t="s">
        <v>490</v>
      </c>
      <c r="B260" s="147" t="s">
        <v>1429</v>
      </c>
      <c r="C260" s="150" t="s">
        <v>489</v>
      </c>
      <c r="D260" s="158">
        <f>D261</f>
        <v>26863</v>
      </c>
      <c r="P260" s="30"/>
      <c r="Q260" s="30"/>
    </row>
    <row r="261" spans="1:17" ht="15">
      <c r="A261" s="157" t="s">
        <v>573</v>
      </c>
      <c r="B261" s="147" t="s">
        <v>1429</v>
      </c>
      <c r="C261" s="150" t="s">
        <v>574</v>
      </c>
      <c r="D261" s="158">
        <f>26863-13000+13000+1000-1000</f>
        <v>26863</v>
      </c>
      <c r="P261" s="30"/>
      <c r="Q261" s="30"/>
    </row>
    <row r="262" spans="1:17" ht="33.75">
      <c r="A262" s="162" t="s">
        <v>312</v>
      </c>
      <c r="B262" s="150" t="s">
        <v>1430</v>
      </c>
      <c r="C262" s="150"/>
      <c r="D262" s="158">
        <f>D263</f>
        <v>250</v>
      </c>
      <c r="P262" s="30"/>
      <c r="Q262" s="30"/>
    </row>
    <row r="263" spans="1:17" ht="24">
      <c r="A263" s="179" t="s">
        <v>1189</v>
      </c>
      <c r="B263" s="150" t="s">
        <v>1431</v>
      </c>
      <c r="C263" s="150"/>
      <c r="D263" s="158">
        <f>D264</f>
        <v>250</v>
      </c>
      <c r="P263" s="30"/>
      <c r="Q263" s="30"/>
    </row>
    <row r="264" spans="1:17" ht="24">
      <c r="A264" s="152" t="s">
        <v>490</v>
      </c>
      <c r="B264" s="150" t="s">
        <v>1431</v>
      </c>
      <c r="C264" s="150" t="s">
        <v>489</v>
      </c>
      <c r="D264" s="158">
        <f>D265+D266</f>
        <v>250</v>
      </c>
      <c r="P264" s="30"/>
      <c r="Q264" s="30"/>
    </row>
    <row r="265" spans="1:17" ht="15">
      <c r="A265" s="157" t="s">
        <v>573</v>
      </c>
      <c r="B265" s="150" t="s">
        <v>1431</v>
      </c>
      <c r="C265" s="150" t="s">
        <v>574</v>
      </c>
      <c r="D265" s="158"/>
      <c r="P265" s="30"/>
      <c r="Q265" s="30"/>
    </row>
    <row r="266" spans="1:17" ht="15">
      <c r="A266" s="157" t="s">
        <v>1125</v>
      </c>
      <c r="B266" s="150" t="s">
        <v>1431</v>
      </c>
      <c r="C266" s="150" t="s">
        <v>1126</v>
      </c>
      <c r="D266" s="158">
        <v>250</v>
      </c>
      <c r="P266" s="30"/>
      <c r="Q266" s="30"/>
    </row>
    <row r="267" spans="1:17" ht="15">
      <c r="A267" s="260" t="s">
        <v>1747</v>
      </c>
      <c r="B267" s="150" t="s">
        <v>804</v>
      </c>
      <c r="C267" s="150"/>
      <c r="D267" s="158">
        <f>D268+D276+D280+D286</f>
        <v>124934</v>
      </c>
      <c r="P267" s="30"/>
      <c r="Q267" s="30"/>
    </row>
    <row r="268" spans="1:17" ht="33.75">
      <c r="A268" s="162" t="s">
        <v>295</v>
      </c>
      <c r="B268" s="147" t="s">
        <v>296</v>
      </c>
      <c r="C268" s="147"/>
      <c r="D268" s="158">
        <f>D269</f>
        <v>32394</v>
      </c>
      <c r="P268" s="30"/>
      <c r="Q268" s="30"/>
    </row>
    <row r="269" spans="1:17" ht="15">
      <c r="A269" s="157" t="s">
        <v>191</v>
      </c>
      <c r="B269" s="147" t="s">
        <v>297</v>
      </c>
      <c r="C269" s="147"/>
      <c r="D269" s="158">
        <f>D270+D272+D274</f>
        <v>32394</v>
      </c>
      <c r="P269" s="30"/>
      <c r="Q269" s="30"/>
    </row>
    <row r="270" spans="1:17" ht="48">
      <c r="A270" s="153" t="s">
        <v>1065</v>
      </c>
      <c r="B270" s="147" t="s">
        <v>297</v>
      </c>
      <c r="C270" s="147" t="s">
        <v>960</v>
      </c>
      <c r="D270" s="158">
        <f>D271</f>
        <v>27000</v>
      </c>
      <c r="P270" s="30"/>
      <c r="Q270" s="30"/>
    </row>
    <row r="271" spans="1:17" ht="24">
      <c r="A271" s="152" t="s">
        <v>515</v>
      </c>
      <c r="B271" s="147" t="s">
        <v>297</v>
      </c>
      <c r="C271" s="147" t="s">
        <v>115</v>
      </c>
      <c r="D271" s="158">
        <v>27000</v>
      </c>
      <c r="P271" s="30"/>
      <c r="Q271" s="30"/>
    </row>
    <row r="272" spans="1:17" ht="15">
      <c r="A272" s="153" t="s">
        <v>974</v>
      </c>
      <c r="B272" s="147" t="s">
        <v>297</v>
      </c>
      <c r="C272" s="147" t="s">
        <v>529</v>
      </c>
      <c r="D272" s="158">
        <f>D273</f>
        <v>5331</v>
      </c>
      <c r="P272" s="30"/>
      <c r="Q272" s="30"/>
    </row>
    <row r="273" spans="1:17" ht="24">
      <c r="A273" s="153" t="s">
        <v>1066</v>
      </c>
      <c r="B273" s="147" t="s">
        <v>297</v>
      </c>
      <c r="C273" s="147" t="s">
        <v>429</v>
      </c>
      <c r="D273" s="158">
        <v>5331</v>
      </c>
      <c r="P273" s="30"/>
      <c r="Q273" s="30"/>
    </row>
    <row r="274" spans="1:17" ht="15">
      <c r="A274" s="153" t="s">
        <v>985</v>
      </c>
      <c r="B274" s="147" t="s">
        <v>297</v>
      </c>
      <c r="C274" s="147" t="s">
        <v>986</v>
      </c>
      <c r="D274" s="158">
        <f>D275</f>
        <v>63</v>
      </c>
      <c r="P274" s="30"/>
      <c r="Q274" s="30"/>
    </row>
    <row r="275" spans="1:17" ht="15">
      <c r="A275" s="153" t="s">
        <v>459</v>
      </c>
      <c r="B275" s="147" t="s">
        <v>297</v>
      </c>
      <c r="C275" s="147" t="s">
        <v>460</v>
      </c>
      <c r="D275" s="158">
        <v>63</v>
      </c>
      <c r="P275" s="30"/>
      <c r="Q275" s="30"/>
    </row>
    <row r="276" spans="1:17" ht="45">
      <c r="A276" s="162" t="s">
        <v>298</v>
      </c>
      <c r="B276" s="150" t="s">
        <v>299</v>
      </c>
      <c r="C276" s="150"/>
      <c r="D276" s="158">
        <f>D277</f>
        <v>68510</v>
      </c>
      <c r="P276" s="30"/>
      <c r="Q276" s="30"/>
    </row>
    <row r="277" spans="1:17" ht="24">
      <c r="A277" s="157" t="s">
        <v>483</v>
      </c>
      <c r="B277" s="150" t="s">
        <v>300</v>
      </c>
      <c r="C277" s="150"/>
      <c r="D277" s="158">
        <f>D278</f>
        <v>68510</v>
      </c>
      <c r="P277" s="30"/>
      <c r="Q277" s="30"/>
    </row>
    <row r="278" spans="1:17" ht="24">
      <c r="A278" s="152" t="s">
        <v>490</v>
      </c>
      <c r="B278" s="150" t="s">
        <v>300</v>
      </c>
      <c r="C278" s="150" t="s">
        <v>489</v>
      </c>
      <c r="D278" s="158">
        <f>D279</f>
        <v>68510</v>
      </c>
      <c r="P278" s="30"/>
      <c r="Q278" s="30"/>
    </row>
    <row r="279" spans="1:17" ht="15">
      <c r="A279" s="157" t="s">
        <v>371</v>
      </c>
      <c r="B279" s="150" t="s">
        <v>300</v>
      </c>
      <c r="C279" s="150" t="s">
        <v>574</v>
      </c>
      <c r="D279" s="158">
        <f>67730+1200-420</f>
        <v>68510</v>
      </c>
      <c r="P279" s="30"/>
      <c r="Q279" s="30"/>
    </row>
    <row r="280" spans="1:17" ht="33.75">
      <c r="A280" s="162" t="s">
        <v>803</v>
      </c>
      <c r="B280" s="150" t="s">
        <v>40</v>
      </c>
      <c r="C280" s="150"/>
      <c r="D280" s="158">
        <f>D281</f>
        <v>300</v>
      </c>
      <c r="P280" s="30"/>
      <c r="Q280" s="30"/>
    </row>
    <row r="281" spans="1:17" ht="36">
      <c r="A281" s="157" t="s">
        <v>806</v>
      </c>
      <c r="B281" s="150" t="s">
        <v>805</v>
      </c>
      <c r="C281" s="150"/>
      <c r="D281" s="158">
        <f>D282+D284</f>
        <v>300</v>
      </c>
      <c r="P281" s="30"/>
      <c r="Q281" s="30"/>
    </row>
    <row r="282" spans="1:17" ht="48">
      <c r="A282" s="153" t="s">
        <v>1065</v>
      </c>
      <c r="B282" s="150" t="s">
        <v>805</v>
      </c>
      <c r="C282" s="150" t="s">
        <v>960</v>
      </c>
      <c r="D282" s="158">
        <f>D283</f>
        <v>0</v>
      </c>
      <c r="P282" s="30"/>
      <c r="Q282" s="30"/>
    </row>
    <row r="283" spans="1:17" ht="24">
      <c r="A283" s="152" t="s">
        <v>515</v>
      </c>
      <c r="B283" s="150" t="s">
        <v>805</v>
      </c>
      <c r="C283" s="150" t="s">
        <v>115</v>
      </c>
      <c r="D283" s="158"/>
      <c r="P283" s="30"/>
      <c r="Q283" s="30"/>
    </row>
    <row r="284" spans="1:17" ht="24">
      <c r="A284" s="153" t="s">
        <v>1066</v>
      </c>
      <c r="B284" s="150" t="s">
        <v>805</v>
      </c>
      <c r="C284" s="150" t="s">
        <v>529</v>
      </c>
      <c r="D284" s="158">
        <f>D285</f>
        <v>300</v>
      </c>
      <c r="P284" s="30"/>
      <c r="Q284" s="30"/>
    </row>
    <row r="285" spans="1:17" ht="15">
      <c r="A285" s="152" t="s">
        <v>1072</v>
      </c>
      <c r="B285" s="150" t="s">
        <v>805</v>
      </c>
      <c r="C285" s="150" t="s">
        <v>429</v>
      </c>
      <c r="D285" s="158">
        <v>300</v>
      </c>
      <c r="P285" s="30"/>
      <c r="Q285" s="30"/>
    </row>
    <row r="286" spans="1:17" ht="57.75">
      <c r="A286" s="267" t="s">
        <v>219</v>
      </c>
      <c r="B286" s="150" t="s">
        <v>220</v>
      </c>
      <c r="C286" s="150"/>
      <c r="D286" s="158">
        <f>D287</f>
        <v>23730</v>
      </c>
      <c r="P286" s="30"/>
      <c r="Q286" s="30"/>
    </row>
    <row r="287" spans="1:17" ht="24">
      <c r="A287" s="157" t="s">
        <v>483</v>
      </c>
      <c r="B287" s="150" t="s">
        <v>221</v>
      </c>
      <c r="C287" s="150"/>
      <c r="D287" s="158">
        <f>D288</f>
        <v>23730</v>
      </c>
      <c r="P287" s="30"/>
      <c r="Q287" s="30"/>
    </row>
    <row r="288" spans="1:17" ht="24">
      <c r="A288" s="152" t="s">
        <v>490</v>
      </c>
      <c r="B288" s="150" t="s">
        <v>221</v>
      </c>
      <c r="C288" s="150" t="s">
        <v>489</v>
      </c>
      <c r="D288" s="158">
        <f>D289</f>
        <v>23730</v>
      </c>
      <c r="P288" s="30"/>
      <c r="Q288" s="30"/>
    </row>
    <row r="289" spans="1:17" ht="15">
      <c r="A289" s="157" t="s">
        <v>1125</v>
      </c>
      <c r="B289" s="150" t="s">
        <v>221</v>
      </c>
      <c r="C289" s="150" t="s">
        <v>1126</v>
      </c>
      <c r="D289" s="158">
        <f>22603+1000+500-670+27+270</f>
        <v>23730</v>
      </c>
      <c r="P289" s="30"/>
      <c r="Q289" s="30"/>
    </row>
    <row r="290" spans="1:17" ht="22.5">
      <c r="A290" s="230" t="s">
        <v>1443</v>
      </c>
      <c r="B290" s="235" t="s">
        <v>755</v>
      </c>
      <c r="C290" s="235"/>
      <c r="D290" s="227">
        <f>D291+D398+D407</f>
        <v>122635.09999999999</v>
      </c>
      <c r="J290" s="32">
        <f>D416</f>
        <v>35247</v>
      </c>
      <c r="P290" s="30"/>
      <c r="Q290" s="30"/>
    </row>
    <row r="291" spans="1:17" ht="36">
      <c r="A291" s="260" t="s">
        <v>1356</v>
      </c>
      <c r="B291" s="147" t="s">
        <v>756</v>
      </c>
      <c r="C291" s="169"/>
      <c r="D291" s="154">
        <f>D292+D341+D370+D376+D394</f>
        <v>78534.79999999999</v>
      </c>
      <c r="P291" s="30"/>
      <c r="Q291" s="30"/>
    </row>
    <row r="292" spans="1:17" ht="33.75">
      <c r="A292" s="268" t="s">
        <v>758</v>
      </c>
      <c r="B292" s="147" t="s">
        <v>757</v>
      </c>
      <c r="C292" s="147"/>
      <c r="D292" s="154">
        <f>D293+D298+D303+D308+D313+D318+D323+D328+D333+D338</f>
        <v>11025.599999999999</v>
      </c>
      <c r="P292" s="30"/>
      <c r="Q292" s="30"/>
    </row>
    <row r="293" spans="1:17" ht="24">
      <c r="A293" s="157" t="s">
        <v>292</v>
      </c>
      <c r="B293" s="147" t="s">
        <v>759</v>
      </c>
      <c r="C293" s="147"/>
      <c r="D293" s="154">
        <f>D294+D296</f>
        <v>440</v>
      </c>
      <c r="P293" s="30"/>
      <c r="Q293" s="30"/>
    </row>
    <row r="294" spans="1:17" ht="24">
      <c r="A294" s="157" t="s">
        <v>478</v>
      </c>
      <c r="B294" s="147" t="s">
        <v>759</v>
      </c>
      <c r="C294" s="147" t="s">
        <v>529</v>
      </c>
      <c r="D294" s="154">
        <f>D295</f>
        <v>20</v>
      </c>
      <c r="P294" s="30"/>
      <c r="Q294" s="30"/>
    </row>
    <row r="295" spans="1:17" ht="24">
      <c r="A295" s="157" t="s">
        <v>920</v>
      </c>
      <c r="B295" s="147" t="s">
        <v>759</v>
      </c>
      <c r="C295" s="147" t="s">
        <v>429</v>
      </c>
      <c r="D295" s="154">
        <f>20</f>
        <v>20</v>
      </c>
      <c r="P295" s="30"/>
      <c r="Q295" s="30"/>
    </row>
    <row r="296" spans="1:17" ht="15">
      <c r="A296" s="153" t="s">
        <v>530</v>
      </c>
      <c r="B296" s="147" t="s">
        <v>759</v>
      </c>
      <c r="C296" s="147" t="s">
        <v>531</v>
      </c>
      <c r="D296" s="154">
        <f>D297</f>
        <v>420</v>
      </c>
      <c r="P296" s="30"/>
      <c r="Q296" s="30"/>
    </row>
    <row r="297" spans="1:17" ht="15">
      <c r="A297" s="152" t="s">
        <v>91</v>
      </c>
      <c r="B297" s="147" t="s">
        <v>759</v>
      </c>
      <c r="C297" s="147" t="s">
        <v>38</v>
      </c>
      <c r="D297" s="154">
        <f>405+15</f>
        <v>420</v>
      </c>
      <c r="P297" s="30"/>
      <c r="Q297" s="30"/>
    </row>
    <row r="298" spans="1:17" ht="24">
      <c r="A298" s="157" t="s">
        <v>293</v>
      </c>
      <c r="B298" s="147" t="s">
        <v>761</v>
      </c>
      <c r="C298" s="147"/>
      <c r="D298" s="154">
        <f>D299+D301</f>
        <v>154.3</v>
      </c>
      <c r="P298" s="30"/>
      <c r="Q298" s="30"/>
    </row>
    <row r="299" spans="1:17" ht="24">
      <c r="A299" s="157" t="s">
        <v>478</v>
      </c>
      <c r="B299" s="147" t="s">
        <v>761</v>
      </c>
      <c r="C299" s="147" t="s">
        <v>529</v>
      </c>
      <c r="D299" s="154">
        <f>D300</f>
        <v>7.3</v>
      </c>
      <c r="P299" s="30"/>
      <c r="Q299" s="30"/>
    </row>
    <row r="300" spans="1:17" ht="24">
      <c r="A300" s="157" t="s">
        <v>920</v>
      </c>
      <c r="B300" s="147" t="s">
        <v>761</v>
      </c>
      <c r="C300" s="147" t="s">
        <v>429</v>
      </c>
      <c r="D300" s="154">
        <v>7.3</v>
      </c>
      <c r="P300" s="30"/>
      <c r="Q300" s="30"/>
    </row>
    <row r="301" spans="1:17" ht="15">
      <c r="A301" s="153" t="s">
        <v>530</v>
      </c>
      <c r="B301" s="147" t="s">
        <v>761</v>
      </c>
      <c r="C301" s="147" t="s">
        <v>531</v>
      </c>
      <c r="D301" s="154">
        <f>D302</f>
        <v>147</v>
      </c>
      <c r="P301" s="30"/>
      <c r="Q301" s="30"/>
    </row>
    <row r="302" spans="1:17" ht="15">
      <c r="A302" s="152" t="s">
        <v>91</v>
      </c>
      <c r="B302" s="147" t="s">
        <v>761</v>
      </c>
      <c r="C302" s="147" t="s">
        <v>38</v>
      </c>
      <c r="D302" s="154">
        <v>147</v>
      </c>
      <c r="P302" s="30"/>
      <c r="Q302" s="30"/>
    </row>
    <row r="303" spans="1:17" ht="24">
      <c r="A303" s="157" t="s">
        <v>961</v>
      </c>
      <c r="B303" s="147" t="s">
        <v>762</v>
      </c>
      <c r="C303" s="147"/>
      <c r="D303" s="158">
        <f>D304+D306</f>
        <v>315</v>
      </c>
      <c r="P303" s="30"/>
      <c r="Q303" s="30"/>
    </row>
    <row r="304" spans="1:17" ht="24">
      <c r="A304" s="157" t="s">
        <v>478</v>
      </c>
      <c r="B304" s="147" t="s">
        <v>762</v>
      </c>
      <c r="C304" s="147" t="s">
        <v>529</v>
      </c>
      <c r="D304" s="158">
        <f>D305</f>
        <v>15</v>
      </c>
      <c r="P304" s="30"/>
      <c r="Q304" s="30"/>
    </row>
    <row r="305" spans="1:17" ht="24">
      <c r="A305" s="157" t="s">
        <v>920</v>
      </c>
      <c r="B305" s="147" t="s">
        <v>762</v>
      </c>
      <c r="C305" s="147" t="s">
        <v>429</v>
      </c>
      <c r="D305" s="158">
        <v>15</v>
      </c>
      <c r="P305" s="30"/>
      <c r="Q305" s="30"/>
    </row>
    <row r="306" spans="1:17" ht="15">
      <c r="A306" s="153" t="s">
        <v>530</v>
      </c>
      <c r="B306" s="147" t="s">
        <v>762</v>
      </c>
      <c r="C306" s="147" t="s">
        <v>531</v>
      </c>
      <c r="D306" s="158">
        <f>D307</f>
        <v>300</v>
      </c>
      <c r="P306" s="30"/>
      <c r="Q306" s="30"/>
    </row>
    <row r="307" spans="1:17" ht="15">
      <c r="A307" s="152" t="s">
        <v>91</v>
      </c>
      <c r="B307" s="147" t="s">
        <v>762</v>
      </c>
      <c r="C307" s="147" t="s">
        <v>38</v>
      </c>
      <c r="D307" s="158">
        <v>300</v>
      </c>
      <c r="P307" s="30"/>
      <c r="Q307" s="30"/>
    </row>
    <row r="308" spans="1:17" ht="24">
      <c r="A308" s="157" t="s">
        <v>1182</v>
      </c>
      <c r="B308" s="147" t="s">
        <v>763</v>
      </c>
      <c r="C308" s="147"/>
      <c r="D308" s="158">
        <f>D309+D311</f>
        <v>15.8</v>
      </c>
      <c r="P308" s="30"/>
      <c r="Q308" s="30"/>
    </row>
    <row r="309" spans="1:17" ht="24">
      <c r="A309" s="157" t="s">
        <v>478</v>
      </c>
      <c r="B309" s="147" t="s">
        <v>763</v>
      </c>
      <c r="C309" s="147" t="s">
        <v>529</v>
      </c>
      <c r="D309" s="158">
        <f>D310</f>
        <v>0.8</v>
      </c>
      <c r="P309" s="30"/>
      <c r="Q309" s="30"/>
    </row>
    <row r="310" spans="1:17" ht="24">
      <c r="A310" s="157" t="s">
        <v>920</v>
      </c>
      <c r="B310" s="147" t="s">
        <v>763</v>
      </c>
      <c r="C310" s="147" t="s">
        <v>429</v>
      </c>
      <c r="D310" s="158">
        <v>0.8</v>
      </c>
      <c r="P310" s="30"/>
      <c r="Q310" s="30"/>
    </row>
    <row r="311" spans="1:17" ht="15">
      <c r="A311" s="153" t="s">
        <v>530</v>
      </c>
      <c r="B311" s="147" t="s">
        <v>763</v>
      </c>
      <c r="C311" s="147" t="s">
        <v>531</v>
      </c>
      <c r="D311" s="158">
        <f>D312</f>
        <v>15</v>
      </c>
      <c r="P311" s="30"/>
      <c r="Q311" s="30"/>
    </row>
    <row r="312" spans="1:17" ht="15">
      <c r="A312" s="152" t="s">
        <v>91</v>
      </c>
      <c r="B312" s="147" t="s">
        <v>763</v>
      </c>
      <c r="C312" s="147" t="s">
        <v>38</v>
      </c>
      <c r="D312" s="158">
        <v>15</v>
      </c>
      <c r="P312" s="30"/>
      <c r="Q312" s="30"/>
    </row>
    <row r="313" spans="1:17" ht="24">
      <c r="A313" s="157" t="s">
        <v>634</v>
      </c>
      <c r="B313" s="147" t="s">
        <v>764</v>
      </c>
      <c r="C313" s="147"/>
      <c r="D313" s="158">
        <f>D314+D316</f>
        <v>11.1</v>
      </c>
      <c r="P313" s="30"/>
      <c r="Q313" s="30"/>
    </row>
    <row r="314" spans="1:17" ht="24">
      <c r="A314" s="157" t="s">
        <v>478</v>
      </c>
      <c r="B314" s="147" t="s">
        <v>764</v>
      </c>
      <c r="C314" s="147" t="s">
        <v>529</v>
      </c>
      <c r="D314" s="158">
        <f>D315</f>
        <v>0.6</v>
      </c>
      <c r="P314" s="30"/>
      <c r="Q314" s="30"/>
    </row>
    <row r="315" spans="1:17" ht="24">
      <c r="A315" s="157" t="s">
        <v>920</v>
      </c>
      <c r="B315" s="147" t="s">
        <v>764</v>
      </c>
      <c r="C315" s="147" t="s">
        <v>429</v>
      </c>
      <c r="D315" s="158">
        <v>0.6</v>
      </c>
      <c r="P315" s="30"/>
      <c r="Q315" s="30"/>
    </row>
    <row r="316" spans="1:17" ht="15">
      <c r="A316" s="153" t="s">
        <v>530</v>
      </c>
      <c r="B316" s="147" t="s">
        <v>764</v>
      </c>
      <c r="C316" s="147" t="s">
        <v>531</v>
      </c>
      <c r="D316" s="158">
        <f>D317</f>
        <v>10.5</v>
      </c>
      <c r="P316" s="30"/>
      <c r="Q316" s="30"/>
    </row>
    <row r="317" spans="1:17" ht="15">
      <c r="A317" s="152" t="s">
        <v>91</v>
      </c>
      <c r="B317" s="147" t="s">
        <v>764</v>
      </c>
      <c r="C317" s="147" t="s">
        <v>38</v>
      </c>
      <c r="D317" s="158">
        <v>10.5</v>
      </c>
      <c r="P317" s="30"/>
      <c r="Q317" s="30"/>
    </row>
    <row r="318" spans="1:17" ht="24">
      <c r="A318" s="157" t="s">
        <v>1129</v>
      </c>
      <c r="B318" s="147" t="s">
        <v>765</v>
      </c>
      <c r="C318" s="147"/>
      <c r="D318" s="158">
        <f>D319+D321</f>
        <v>28.4</v>
      </c>
      <c r="P318" s="30"/>
      <c r="Q318" s="30"/>
    </row>
    <row r="319" spans="1:17" ht="24">
      <c r="A319" s="157" t="s">
        <v>478</v>
      </c>
      <c r="B319" s="147" t="s">
        <v>765</v>
      </c>
      <c r="C319" s="147" t="s">
        <v>529</v>
      </c>
      <c r="D319" s="158">
        <f>D320</f>
        <v>1.4</v>
      </c>
      <c r="P319" s="30"/>
      <c r="Q319" s="30"/>
    </row>
    <row r="320" spans="1:17" ht="24">
      <c r="A320" s="157" t="s">
        <v>920</v>
      </c>
      <c r="B320" s="147" t="s">
        <v>765</v>
      </c>
      <c r="C320" s="147" t="s">
        <v>429</v>
      </c>
      <c r="D320" s="158">
        <v>1.4</v>
      </c>
      <c r="P320" s="30"/>
      <c r="Q320" s="30"/>
    </row>
    <row r="321" spans="1:17" ht="15">
      <c r="A321" s="153" t="s">
        <v>530</v>
      </c>
      <c r="B321" s="147" t="s">
        <v>765</v>
      </c>
      <c r="C321" s="147" t="s">
        <v>531</v>
      </c>
      <c r="D321" s="158">
        <f>D322</f>
        <v>27</v>
      </c>
      <c r="P321" s="30"/>
      <c r="Q321" s="30"/>
    </row>
    <row r="322" spans="1:17" ht="15">
      <c r="A322" s="152" t="s">
        <v>91</v>
      </c>
      <c r="B322" s="147" t="s">
        <v>765</v>
      </c>
      <c r="C322" s="147" t="s">
        <v>38</v>
      </c>
      <c r="D322" s="158">
        <v>27</v>
      </c>
      <c r="P322" s="30"/>
      <c r="Q322" s="30"/>
    </row>
    <row r="323" spans="1:17" ht="24">
      <c r="A323" s="157" t="s">
        <v>397</v>
      </c>
      <c r="B323" s="147" t="s">
        <v>766</v>
      </c>
      <c r="C323" s="147"/>
      <c r="D323" s="158">
        <f>D324+D326</f>
        <v>11.1</v>
      </c>
      <c r="P323" s="30"/>
      <c r="Q323" s="30"/>
    </row>
    <row r="324" spans="1:17" ht="24">
      <c r="A324" s="157" t="s">
        <v>478</v>
      </c>
      <c r="B324" s="147" t="s">
        <v>766</v>
      </c>
      <c r="C324" s="147" t="s">
        <v>529</v>
      </c>
      <c r="D324" s="158">
        <f>D325</f>
        <v>0.6</v>
      </c>
      <c r="P324" s="30"/>
      <c r="Q324" s="30"/>
    </row>
    <row r="325" spans="1:17" ht="24">
      <c r="A325" s="157" t="s">
        <v>920</v>
      </c>
      <c r="B325" s="147" t="s">
        <v>766</v>
      </c>
      <c r="C325" s="147" t="s">
        <v>429</v>
      </c>
      <c r="D325" s="158">
        <v>0.6</v>
      </c>
      <c r="P325" s="30"/>
      <c r="Q325" s="30"/>
    </row>
    <row r="326" spans="1:17" ht="15">
      <c r="A326" s="153" t="s">
        <v>530</v>
      </c>
      <c r="B326" s="147" t="s">
        <v>766</v>
      </c>
      <c r="C326" s="147" t="s">
        <v>531</v>
      </c>
      <c r="D326" s="158">
        <f>D327</f>
        <v>10.5</v>
      </c>
      <c r="P326" s="30"/>
      <c r="Q326" s="30"/>
    </row>
    <row r="327" spans="1:17" ht="15">
      <c r="A327" s="152" t="s">
        <v>91</v>
      </c>
      <c r="B327" s="147" t="s">
        <v>766</v>
      </c>
      <c r="C327" s="147" t="s">
        <v>38</v>
      </c>
      <c r="D327" s="158">
        <v>10.5</v>
      </c>
      <c r="P327" s="30"/>
      <c r="Q327" s="30"/>
    </row>
    <row r="328" spans="1:17" ht="24">
      <c r="A328" s="157" t="s">
        <v>261</v>
      </c>
      <c r="B328" s="147" t="s">
        <v>767</v>
      </c>
      <c r="C328" s="147"/>
      <c r="D328" s="158">
        <f>D329+D331</f>
        <v>3520</v>
      </c>
      <c r="P328" s="30"/>
      <c r="Q328" s="30"/>
    </row>
    <row r="329" spans="1:17" ht="24">
      <c r="A329" s="157" t="s">
        <v>478</v>
      </c>
      <c r="B329" s="147" t="s">
        <v>767</v>
      </c>
      <c r="C329" s="147" t="s">
        <v>529</v>
      </c>
      <c r="D329" s="158">
        <f>D330</f>
        <v>100</v>
      </c>
      <c r="P329" s="30"/>
      <c r="Q329" s="30"/>
    </row>
    <row r="330" spans="1:17" ht="24">
      <c r="A330" s="157" t="s">
        <v>920</v>
      </c>
      <c r="B330" s="147" t="s">
        <v>767</v>
      </c>
      <c r="C330" s="147" t="s">
        <v>429</v>
      </c>
      <c r="D330" s="158">
        <f>120-15-5</f>
        <v>100</v>
      </c>
      <c r="P330" s="30"/>
      <c r="Q330" s="30"/>
    </row>
    <row r="331" spans="1:17" ht="15">
      <c r="A331" s="153" t="s">
        <v>530</v>
      </c>
      <c r="B331" s="147" t="s">
        <v>767</v>
      </c>
      <c r="C331" s="147" t="s">
        <v>531</v>
      </c>
      <c r="D331" s="158">
        <f>D332</f>
        <v>3420</v>
      </c>
      <c r="P331" s="30"/>
      <c r="Q331" s="30"/>
    </row>
    <row r="332" spans="1:17" ht="15">
      <c r="A332" s="152" t="s">
        <v>91</v>
      </c>
      <c r="B332" s="147" t="s">
        <v>767</v>
      </c>
      <c r="C332" s="147" t="s">
        <v>38</v>
      </c>
      <c r="D332" s="158">
        <v>3420</v>
      </c>
      <c r="P332" s="30"/>
      <c r="Q332" s="30"/>
    </row>
    <row r="333" spans="1:17" ht="24">
      <c r="A333" s="157" t="s">
        <v>891</v>
      </c>
      <c r="B333" s="147" t="s">
        <v>768</v>
      </c>
      <c r="C333" s="147"/>
      <c r="D333" s="158">
        <f>D334+D336</f>
        <v>29.9</v>
      </c>
      <c r="P333" s="30"/>
      <c r="Q333" s="30"/>
    </row>
    <row r="334" spans="1:17" ht="24">
      <c r="A334" s="157" t="s">
        <v>478</v>
      </c>
      <c r="B334" s="147" t="s">
        <v>768</v>
      </c>
      <c r="C334" s="147" t="s">
        <v>529</v>
      </c>
      <c r="D334" s="158">
        <f>D335</f>
        <v>1.4</v>
      </c>
      <c r="P334" s="30"/>
      <c r="Q334" s="30"/>
    </row>
    <row r="335" spans="1:17" ht="24">
      <c r="A335" s="157" t="s">
        <v>920</v>
      </c>
      <c r="B335" s="147" t="s">
        <v>768</v>
      </c>
      <c r="C335" s="147" t="s">
        <v>429</v>
      </c>
      <c r="D335" s="158">
        <v>1.4</v>
      </c>
      <c r="P335" s="30"/>
      <c r="Q335" s="30"/>
    </row>
    <row r="336" spans="1:17" ht="15">
      <c r="A336" s="153" t="s">
        <v>530</v>
      </c>
      <c r="B336" s="147" t="s">
        <v>768</v>
      </c>
      <c r="C336" s="147" t="s">
        <v>531</v>
      </c>
      <c r="D336" s="158">
        <f>D337</f>
        <v>28.5</v>
      </c>
      <c r="P336" s="30"/>
      <c r="Q336" s="30"/>
    </row>
    <row r="337" spans="1:17" ht="15">
      <c r="A337" s="152" t="s">
        <v>91</v>
      </c>
      <c r="B337" s="147" t="s">
        <v>768</v>
      </c>
      <c r="C337" s="147" t="s">
        <v>38</v>
      </c>
      <c r="D337" s="158">
        <v>28.5</v>
      </c>
      <c r="P337" s="30"/>
      <c r="Q337" s="30"/>
    </row>
    <row r="338" spans="1:17" ht="60">
      <c r="A338" s="152" t="s">
        <v>1081</v>
      </c>
      <c r="B338" s="147" t="s">
        <v>1082</v>
      </c>
      <c r="C338" s="147"/>
      <c r="D338" s="158">
        <f>D339</f>
        <v>6500</v>
      </c>
      <c r="P338" s="30"/>
      <c r="Q338" s="30"/>
    </row>
    <row r="339" spans="1:17" ht="15">
      <c r="A339" s="153" t="s">
        <v>530</v>
      </c>
      <c r="B339" s="147" t="s">
        <v>1082</v>
      </c>
      <c r="C339" s="147" t="s">
        <v>531</v>
      </c>
      <c r="D339" s="158">
        <f>D340</f>
        <v>6500</v>
      </c>
      <c r="P339" s="30"/>
      <c r="Q339" s="30"/>
    </row>
    <row r="340" spans="1:17" ht="15">
      <c r="A340" s="152" t="s">
        <v>91</v>
      </c>
      <c r="B340" s="147" t="s">
        <v>1082</v>
      </c>
      <c r="C340" s="147" t="s">
        <v>38</v>
      </c>
      <c r="D340" s="158">
        <v>6500</v>
      </c>
      <c r="P340" s="30"/>
      <c r="Q340" s="30"/>
    </row>
    <row r="341" spans="1:17" ht="33.75">
      <c r="A341" s="162" t="s">
        <v>769</v>
      </c>
      <c r="B341" s="147" t="s">
        <v>770</v>
      </c>
      <c r="C341" s="147"/>
      <c r="D341" s="158">
        <f>D342+D345+D348+D351+D356+D361+D364+D367</f>
        <v>15932</v>
      </c>
      <c r="P341" s="30"/>
      <c r="Q341" s="30"/>
    </row>
    <row r="342" spans="1:17" ht="84">
      <c r="A342" s="157" t="s">
        <v>971</v>
      </c>
      <c r="B342" s="147" t="s">
        <v>771</v>
      </c>
      <c r="C342" s="147"/>
      <c r="D342" s="158">
        <f>D343</f>
        <v>1462</v>
      </c>
      <c r="P342" s="30"/>
      <c r="Q342" s="30"/>
    </row>
    <row r="343" spans="1:17" ht="15">
      <c r="A343" s="153" t="s">
        <v>530</v>
      </c>
      <c r="B343" s="147" t="s">
        <v>771</v>
      </c>
      <c r="C343" s="147" t="s">
        <v>531</v>
      </c>
      <c r="D343" s="158">
        <f>D344</f>
        <v>1462</v>
      </c>
      <c r="P343" s="30"/>
      <c r="Q343" s="30"/>
    </row>
    <row r="344" spans="1:17" ht="15">
      <c r="A344" s="152" t="s">
        <v>91</v>
      </c>
      <c r="B344" s="147" t="s">
        <v>771</v>
      </c>
      <c r="C344" s="147" t="s">
        <v>38</v>
      </c>
      <c r="D344" s="158">
        <v>1462</v>
      </c>
      <c r="P344" s="30"/>
      <c r="Q344" s="30"/>
    </row>
    <row r="345" spans="1:17" ht="36">
      <c r="A345" s="157" t="s">
        <v>407</v>
      </c>
      <c r="B345" s="147" t="s">
        <v>772</v>
      </c>
      <c r="C345" s="147"/>
      <c r="D345" s="158">
        <f>D346</f>
        <v>336</v>
      </c>
      <c r="P345" s="30"/>
      <c r="Q345" s="30"/>
    </row>
    <row r="346" spans="1:17" ht="15">
      <c r="A346" s="153" t="s">
        <v>530</v>
      </c>
      <c r="B346" s="147" t="s">
        <v>772</v>
      </c>
      <c r="C346" s="147" t="s">
        <v>531</v>
      </c>
      <c r="D346" s="158">
        <f>D347</f>
        <v>336</v>
      </c>
      <c r="P346" s="30"/>
      <c r="Q346" s="30"/>
    </row>
    <row r="347" spans="1:17" ht="15">
      <c r="A347" s="152" t="s">
        <v>91</v>
      </c>
      <c r="B347" s="147" t="s">
        <v>772</v>
      </c>
      <c r="C347" s="147" t="s">
        <v>38</v>
      </c>
      <c r="D347" s="158">
        <v>336</v>
      </c>
      <c r="P347" s="30"/>
      <c r="Q347" s="30"/>
    </row>
    <row r="348" spans="1:17" ht="24">
      <c r="A348" s="157" t="s">
        <v>502</v>
      </c>
      <c r="B348" s="147" t="s">
        <v>773</v>
      </c>
      <c r="C348" s="147"/>
      <c r="D348" s="158">
        <f>D349</f>
        <v>100</v>
      </c>
      <c r="P348" s="30"/>
      <c r="Q348" s="30"/>
    </row>
    <row r="349" spans="1:17" ht="15">
      <c r="A349" s="153" t="s">
        <v>530</v>
      </c>
      <c r="B349" s="147" t="s">
        <v>773</v>
      </c>
      <c r="C349" s="147" t="s">
        <v>531</v>
      </c>
      <c r="D349" s="158">
        <f>D350</f>
        <v>100</v>
      </c>
      <c r="P349" s="30"/>
      <c r="Q349" s="30"/>
    </row>
    <row r="350" spans="1:17" ht="15">
      <c r="A350" s="152" t="s">
        <v>91</v>
      </c>
      <c r="B350" s="147" t="s">
        <v>773</v>
      </c>
      <c r="C350" s="147" t="s">
        <v>38</v>
      </c>
      <c r="D350" s="158">
        <v>100</v>
      </c>
      <c r="P350" s="30"/>
      <c r="Q350" s="30"/>
    </row>
    <row r="351" spans="1:17" ht="24">
      <c r="A351" s="157" t="s">
        <v>262</v>
      </c>
      <c r="B351" s="147" t="s">
        <v>774</v>
      </c>
      <c r="C351" s="147"/>
      <c r="D351" s="158">
        <f>D352+D354</f>
        <v>5636</v>
      </c>
      <c r="P351" s="30"/>
      <c r="Q351" s="30"/>
    </row>
    <row r="352" spans="1:17" ht="24">
      <c r="A352" s="157" t="s">
        <v>478</v>
      </c>
      <c r="B352" s="147" t="s">
        <v>774</v>
      </c>
      <c r="C352" s="147" t="s">
        <v>529</v>
      </c>
      <c r="D352" s="158">
        <f>D353</f>
        <v>20</v>
      </c>
      <c r="P352" s="30"/>
      <c r="Q352" s="30"/>
    </row>
    <row r="353" spans="1:17" ht="24">
      <c r="A353" s="157" t="s">
        <v>920</v>
      </c>
      <c r="B353" s="147" t="s">
        <v>774</v>
      </c>
      <c r="C353" s="147" t="s">
        <v>429</v>
      </c>
      <c r="D353" s="158">
        <v>20</v>
      </c>
      <c r="P353" s="30"/>
      <c r="Q353" s="30"/>
    </row>
    <row r="354" spans="1:17" ht="15">
      <c r="A354" s="153" t="s">
        <v>530</v>
      </c>
      <c r="B354" s="147" t="s">
        <v>774</v>
      </c>
      <c r="C354" s="147" t="s">
        <v>531</v>
      </c>
      <c r="D354" s="158">
        <f>D355</f>
        <v>5616</v>
      </c>
      <c r="P354" s="30"/>
      <c r="Q354" s="30"/>
    </row>
    <row r="355" spans="1:17" ht="15">
      <c r="A355" s="152" t="s">
        <v>91</v>
      </c>
      <c r="B355" s="147" t="s">
        <v>774</v>
      </c>
      <c r="C355" s="147" t="s">
        <v>38</v>
      </c>
      <c r="D355" s="158">
        <f>980+3046+780+30+210+60+60+450</f>
        <v>5616</v>
      </c>
      <c r="P355" s="30"/>
      <c r="Q355" s="30"/>
    </row>
    <row r="356" spans="1:17" ht="24">
      <c r="A356" s="157" t="s">
        <v>492</v>
      </c>
      <c r="B356" s="147" t="s">
        <v>775</v>
      </c>
      <c r="C356" s="147"/>
      <c r="D356" s="158">
        <f>D357+D359</f>
        <v>3000</v>
      </c>
      <c r="P356" s="30"/>
      <c r="Q356" s="30"/>
    </row>
    <row r="357" spans="1:17" ht="24">
      <c r="A357" s="157" t="s">
        <v>478</v>
      </c>
      <c r="B357" s="147" t="s">
        <v>775</v>
      </c>
      <c r="C357" s="147" t="s">
        <v>529</v>
      </c>
      <c r="D357" s="158">
        <f>D358</f>
        <v>50</v>
      </c>
      <c r="P357" s="30"/>
      <c r="Q357" s="30"/>
    </row>
    <row r="358" spans="1:17" ht="24">
      <c r="A358" s="157" t="s">
        <v>920</v>
      </c>
      <c r="B358" s="147" t="s">
        <v>775</v>
      </c>
      <c r="C358" s="147" t="s">
        <v>429</v>
      </c>
      <c r="D358" s="158">
        <v>50</v>
      </c>
      <c r="P358" s="30"/>
      <c r="Q358" s="30"/>
    </row>
    <row r="359" spans="1:17" ht="15">
      <c r="A359" s="153" t="s">
        <v>530</v>
      </c>
      <c r="B359" s="147" t="s">
        <v>775</v>
      </c>
      <c r="C359" s="147" t="s">
        <v>531</v>
      </c>
      <c r="D359" s="158">
        <f>D360</f>
        <v>2950</v>
      </c>
      <c r="P359" s="30"/>
      <c r="Q359" s="30"/>
    </row>
    <row r="360" spans="1:17" ht="15">
      <c r="A360" s="152" t="s">
        <v>91</v>
      </c>
      <c r="B360" s="147" t="s">
        <v>775</v>
      </c>
      <c r="C360" s="147" t="s">
        <v>38</v>
      </c>
      <c r="D360" s="158">
        <v>2950</v>
      </c>
      <c r="P360" s="30"/>
      <c r="Q360" s="30"/>
    </row>
    <row r="361" spans="1:17" ht="48">
      <c r="A361" s="182" t="s">
        <v>776</v>
      </c>
      <c r="B361" s="147" t="s">
        <v>777</v>
      </c>
      <c r="C361" s="147"/>
      <c r="D361" s="158">
        <f>D362</f>
        <v>1270</v>
      </c>
      <c r="P361" s="30"/>
      <c r="Q361" s="30"/>
    </row>
    <row r="362" spans="1:17" ht="15">
      <c r="A362" s="153" t="s">
        <v>530</v>
      </c>
      <c r="B362" s="147" t="s">
        <v>777</v>
      </c>
      <c r="C362" s="147" t="s">
        <v>531</v>
      </c>
      <c r="D362" s="158">
        <f>D363</f>
        <v>1270</v>
      </c>
      <c r="P362" s="30"/>
      <c r="Q362" s="30"/>
    </row>
    <row r="363" spans="1:17" ht="24">
      <c r="A363" s="152" t="s">
        <v>171</v>
      </c>
      <c r="B363" s="147" t="s">
        <v>777</v>
      </c>
      <c r="C363" s="147" t="s">
        <v>399</v>
      </c>
      <c r="D363" s="158">
        <v>1270</v>
      </c>
      <c r="P363" s="30"/>
      <c r="Q363" s="30"/>
    </row>
    <row r="364" spans="1:17" ht="24">
      <c r="A364" s="157" t="s">
        <v>1115</v>
      </c>
      <c r="B364" s="147" t="s">
        <v>778</v>
      </c>
      <c r="C364" s="147"/>
      <c r="D364" s="158">
        <f>D365</f>
        <v>4000</v>
      </c>
      <c r="P364" s="30"/>
      <c r="Q364" s="30"/>
    </row>
    <row r="365" spans="1:17" ht="15">
      <c r="A365" s="153" t="s">
        <v>530</v>
      </c>
      <c r="B365" s="147" t="s">
        <v>778</v>
      </c>
      <c r="C365" s="147" t="s">
        <v>531</v>
      </c>
      <c r="D365" s="158">
        <f>D366</f>
        <v>4000</v>
      </c>
      <c r="P365" s="30"/>
      <c r="Q365" s="30"/>
    </row>
    <row r="366" spans="1:17" ht="15">
      <c r="A366" s="152" t="s">
        <v>91</v>
      </c>
      <c r="B366" s="147" t="s">
        <v>778</v>
      </c>
      <c r="C366" s="147" t="s">
        <v>38</v>
      </c>
      <c r="D366" s="158">
        <v>4000</v>
      </c>
      <c r="P366" s="30"/>
      <c r="Q366" s="30"/>
    </row>
    <row r="367" spans="1:17" ht="36">
      <c r="A367" s="152" t="s">
        <v>1700</v>
      </c>
      <c r="B367" s="147" t="s">
        <v>1701</v>
      </c>
      <c r="C367" s="147"/>
      <c r="D367" s="155">
        <f>D368</f>
        <v>128</v>
      </c>
      <c r="P367" s="30"/>
      <c r="Q367" s="30"/>
    </row>
    <row r="368" spans="1:17" ht="15">
      <c r="A368" s="153" t="s">
        <v>530</v>
      </c>
      <c r="B368" s="147" t="s">
        <v>1701</v>
      </c>
      <c r="C368" s="147" t="s">
        <v>531</v>
      </c>
      <c r="D368" s="155">
        <f>D369</f>
        <v>128</v>
      </c>
      <c r="P368" s="30"/>
      <c r="Q368" s="30"/>
    </row>
    <row r="369" spans="1:17" ht="15">
      <c r="A369" s="152" t="s">
        <v>91</v>
      </c>
      <c r="B369" s="147" t="s">
        <v>1701</v>
      </c>
      <c r="C369" s="147" t="s">
        <v>38</v>
      </c>
      <c r="D369" s="158">
        <v>128</v>
      </c>
      <c r="P369" s="30"/>
      <c r="Q369" s="30"/>
    </row>
    <row r="370" spans="1:17" ht="33.75">
      <c r="A370" s="162" t="s">
        <v>760</v>
      </c>
      <c r="B370" s="147" t="s">
        <v>222</v>
      </c>
      <c r="C370" s="169"/>
      <c r="D370" s="158">
        <f>D371</f>
        <v>11082.5</v>
      </c>
      <c r="P370" s="30"/>
      <c r="Q370" s="30"/>
    </row>
    <row r="371" spans="1:17" ht="24">
      <c r="A371" s="157" t="s">
        <v>1092</v>
      </c>
      <c r="B371" s="147" t="s">
        <v>223</v>
      </c>
      <c r="C371" s="147"/>
      <c r="D371" s="158">
        <f>D372+D374</f>
        <v>11082.5</v>
      </c>
      <c r="P371" s="30"/>
      <c r="Q371" s="30"/>
    </row>
    <row r="372" spans="1:17" ht="24">
      <c r="A372" s="157" t="s">
        <v>478</v>
      </c>
      <c r="B372" s="147" t="s">
        <v>223</v>
      </c>
      <c r="C372" s="147" t="s">
        <v>529</v>
      </c>
      <c r="D372" s="158">
        <f>D373</f>
        <v>82.5</v>
      </c>
      <c r="P372" s="30"/>
      <c r="Q372" s="30"/>
    </row>
    <row r="373" spans="1:17" ht="24">
      <c r="A373" s="157" t="s">
        <v>920</v>
      </c>
      <c r="B373" s="147" t="s">
        <v>223</v>
      </c>
      <c r="C373" s="147" t="s">
        <v>429</v>
      </c>
      <c r="D373" s="158">
        <v>82.5</v>
      </c>
      <c r="P373" s="30"/>
      <c r="Q373" s="30"/>
    </row>
    <row r="374" spans="1:17" ht="15">
      <c r="A374" s="153" t="s">
        <v>530</v>
      </c>
      <c r="B374" s="147" t="s">
        <v>223</v>
      </c>
      <c r="C374" s="147" t="s">
        <v>531</v>
      </c>
      <c r="D374" s="158">
        <f>D375</f>
        <v>11000</v>
      </c>
      <c r="P374" s="30"/>
      <c r="Q374" s="30"/>
    </row>
    <row r="375" spans="1:17" ht="15">
      <c r="A375" s="152" t="s">
        <v>91</v>
      </c>
      <c r="B375" s="147" t="s">
        <v>223</v>
      </c>
      <c r="C375" s="147" t="s">
        <v>38</v>
      </c>
      <c r="D375" s="158">
        <v>11000</v>
      </c>
      <c r="P375" s="30"/>
      <c r="Q375" s="30"/>
    </row>
    <row r="376" spans="1:17" ht="45">
      <c r="A376" s="162" t="s">
        <v>53</v>
      </c>
      <c r="B376" s="147" t="s">
        <v>54</v>
      </c>
      <c r="C376" s="147"/>
      <c r="D376" s="158">
        <f>D377+D382+D387</f>
        <v>34854.7</v>
      </c>
      <c r="P376" s="30"/>
      <c r="Q376" s="30"/>
    </row>
    <row r="377" spans="1:17" ht="120">
      <c r="A377" s="182" t="s">
        <v>919</v>
      </c>
      <c r="B377" s="147" t="s">
        <v>55</v>
      </c>
      <c r="C377" s="147"/>
      <c r="D377" s="158">
        <f>D378+D380</f>
        <v>403</v>
      </c>
      <c r="P377" s="30"/>
      <c r="Q377" s="30"/>
    </row>
    <row r="378" spans="1:17" ht="24">
      <c r="A378" s="157" t="s">
        <v>478</v>
      </c>
      <c r="B378" s="147" t="s">
        <v>55</v>
      </c>
      <c r="C378" s="147" t="s">
        <v>529</v>
      </c>
      <c r="D378" s="158">
        <f>D379</f>
        <v>3</v>
      </c>
      <c r="P378" s="30"/>
      <c r="Q378" s="30"/>
    </row>
    <row r="379" spans="1:17" ht="24">
      <c r="A379" s="157" t="s">
        <v>920</v>
      </c>
      <c r="B379" s="147" t="s">
        <v>55</v>
      </c>
      <c r="C379" s="147" t="s">
        <v>429</v>
      </c>
      <c r="D379" s="158">
        <v>3</v>
      </c>
      <c r="P379" s="30"/>
      <c r="Q379" s="30"/>
    </row>
    <row r="380" spans="1:17" ht="15">
      <c r="A380" s="153" t="s">
        <v>530</v>
      </c>
      <c r="B380" s="147" t="s">
        <v>55</v>
      </c>
      <c r="C380" s="147" t="s">
        <v>531</v>
      </c>
      <c r="D380" s="158">
        <f>D381</f>
        <v>400</v>
      </c>
      <c r="P380" s="30"/>
      <c r="Q380" s="30"/>
    </row>
    <row r="381" spans="1:17" ht="15">
      <c r="A381" s="152" t="s">
        <v>91</v>
      </c>
      <c r="B381" s="147" t="s">
        <v>55</v>
      </c>
      <c r="C381" s="147" t="s">
        <v>38</v>
      </c>
      <c r="D381" s="158">
        <v>400</v>
      </c>
      <c r="P381" s="30"/>
      <c r="Q381" s="30"/>
    </row>
    <row r="382" spans="1:17" ht="36">
      <c r="A382" s="152" t="s">
        <v>921</v>
      </c>
      <c r="B382" s="147" t="s">
        <v>56</v>
      </c>
      <c r="C382" s="147"/>
      <c r="D382" s="158">
        <f>D383+D385</f>
        <v>321.7</v>
      </c>
      <c r="P382" s="30"/>
      <c r="Q382" s="30"/>
    </row>
    <row r="383" spans="1:17" ht="24">
      <c r="A383" s="157" t="s">
        <v>478</v>
      </c>
      <c r="B383" s="147" t="s">
        <v>56</v>
      </c>
      <c r="C383" s="147" t="s">
        <v>529</v>
      </c>
      <c r="D383" s="158">
        <f>D384</f>
        <v>2.4</v>
      </c>
      <c r="P383" s="30"/>
      <c r="Q383" s="30"/>
    </row>
    <row r="384" spans="1:17" ht="24">
      <c r="A384" s="157" t="s">
        <v>920</v>
      </c>
      <c r="B384" s="147" t="s">
        <v>56</v>
      </c>
      <c r="C384" s="147" t="s">
        <v>429</v>
      </c>
      <c r="D384" s="158">
        <v>2.4</v>
      </c>
      <c r="P384" s="30"/>
      <c r="Q384" s="30"/>
    </row>
    <row r="385" spans="1:17" ht="15">
      <c r="A385" s="194" t="s">
        <v>530</v>
      </c>
      <c r="B385" s="147" t="s">
        <v>56</v>
      </c>
      <c r="C385" s="147" t="s">
        <v>531</v>
      </c>
      <c r="D385" s="158">
        <f>D386</f>
        <v>319.3</v>
      </c>
      <c r="P385" s="30"/>
      <c r="Q385" s="30"/>
    </row>
    <row r="386" spans="1:17" ht="15">
      <c r="A386" s="152" t="s">
        <v>91</v>
      </c>
      <c r="B386" s="147" t="s">
        <v>56</v>
      </c>
      <c r="C386" s="147" t="s">
        <v>38</v>
      </c>
      <c r="D386" s="158">
        <v>319.3</v>
      </c>
      <c r="P386" s="30"/>
      <c r="Q386" s="30"/>
    </row>
    <row r="387" spans="1:17" ht="36">
      <c r="A387" s="153" t="s">
        <v>57</v>
      </c>
      <c r="B387" s="147" t="s">
        <v>58</v>
      </c>
      <c r="C387" s="147"/>
      <c r="D387" s="158">
        <f>D388+D390</f>
        <v>34130</v>
      </c>
      <c r="P387" s="30"/>
      <c r="Q387" s="30"/>
    </row>
    <row r="388" spans="1:17" ht="24">
      <c r="A388" s="157" t="s">
        <v>478</v>
      </c>
      <c r="B388" s="147" t="s">
        <v>58</v>
      </c>
      <c r="C388" s="147" t="s">
        <v>529</v>
      </c>
      <c r="D388" s="158">
        <f>D389</f>
        <v>0</v>
      </c>
      <c r="P388" s="30"/>
      <c r="Q388" s="30"/>
    </row>
    <row r="389" spans="1:17" ht="24">
      <c r="A389" s="157" t="s">
        <v>920</v>
      </c>
      <c r="B389" s="147" t="s">
        <v>58</v>
      </c>
      <c r="C389" s="147" t="s">
        <v>429</v>
      </c>
      <c r="D389" s="158">
        <f>254.1-254.1</f>
        <v>0</v>
      </c>
      <c r="P389" s="30"/>
      <c r="Q389" s="30"/>
    </row>
    <row r="390" spans="1:17" ht="15">
      <c r="A390" s="153" t="s">
        <v>530</v>
      </c>
      <c r="B390" s="147" t="s">
        <v>58</v>
      </c>
      <c r="C390" s="147" t="s">
        <v>531</v>
      </c>
      <c r="D390" s="158">
        <f>D391</f>
        <v>34130</v>
      </c>
      <c r="P390" s="30"/>
      <c r="Q390" s="30"/>
    </row>
    <row r="391" spans="1:17" ht="24">
      <c r="A391" s="152" t="s">
        <v>171</v>
      </c>
      <c r="B391" s="147" t="s">
        <v>58</v>
      </c>
      <c r="C391" s="147" t="s">
        <v>399</v>
      </c>
      <c r="D391" s="158">
        <f>33875.9+254.1</f>
        <v>34130</v>
      </c>
      <c r="P391" s="30"/>
      <c r="Q391" s="30"/>
    </row>
    <row r="392" spans="1:17" ht="15">
      <c r="A392" s="152" t="s">
        <v>91</v>
      </c>
      <c r="B392" s="147" t="s">
        <v>58</v>
      </c>
      <c r="C392" s="147" t="s">
        <v>531</v>
      </c>
      <c r="D392" s="158">
        <f>D393</f>
        <v>0</v>
      </c>
      <c r="P392" s="30"/>
      <c r="Q392" s="30"/>
    </row>
    <row r="393" spans="1:17" ht="24">
      <c r="A393" s="157" t="s">
        <v>1002</v>
      </c>
      <c r="B393" s="147" t="s">
        <v>58</v>
      </c>
      <c r="C393" s="147" t="s">
        <v>399</v>
      </c>
      <c r="D393" s="158"/>
      <c r="P393" s="30"/>
      <c r="Q393" s="30"/>
    </row>
    <row r="394" spans="1:17" ht="24">
      <c r="A394" s="152" t="s">
        <v>59</v>
      </c>
      <c r="B394" s="147" t="s">
        <v>702</v>
      </c>
      <c r="C394" s="147"/>
      <c r="D394" s="158">
        <f>D395</f>
        <v>5640</v>
      </c>
      <c r="P394" s="30"/>
      <c r="Q394" s="30"/>
    </row>
    <row r="395" spans="1:17" ht="24">
      <c r="A395" s="174" t="s">
        <v>1003</v>
      </c>
      <c r="B395" s="147" t="s">
        <v>60</v>
      </c>
      <c r="C395" s="147"/>
      <c r="D395" s="158">
        <f>D396</f>
        <v>5640</v>
      </c>
      <c r="P395" s="30"/>
      <c r="Q395" s="30"/>
    </row>
    <row r="396" spans="1:17" ht="15">
      <c r="A396" s="153" t="s">
        <v>530</v>
      </c>
      <c r="B396" s="147" t="s">
        <v>60</v>
      </c>
      <c r="C396" s="147" t="s">
        <v>531</v>
      </c>
      <c r="D396" s="158">
        <f>D397</f>
        <v>5640</v>
      </c>
      <c r="P396" s="30"/>
      <c r="Q396" s="30"/>
    </row>
    <row r="397" spans="1:17" ht="15">
      <c r="A397" s="152" t="s">
        <v>91</v>
      </c>
      <c r="B397" s="147" t="s">
        <v>60</v>
      </c>
      <c r="C397" s="147" t="s">
        <v>38</v>
      </c>
      <c r="D397" s="158">
        <v>5640</v>
      </c>
      <c r="P397" s="30"/>
      <c r="Q397" s="30"/>
    </row>
    <row r="398" spans="1:17" ht="21" customHeight="1">
      <c r="A398" s="260" t="s">
        <v>1357</v>
      </c>
      <c r="B398" s="150" t="s">
        <v>704</v>
      </c>
      <c r="C398" s="150"/>
      <c r="D398" s="158">
        <f>D399</f>
        <v>505</v>
      </c>
      <c r="P398" s="30"/>
      <c r="Q398" s="30"/>
    </row>
    <row r="399" spans="1:17" ht="22.5">
      <c r="A399" s="162" t="s">
        <v>703</v>
      </c>
      <c r="B399" s="147" t="s">
        <v>705</v>
      </c>
      <c r="C399" s="147"/>
      <c r="D399" s="158">
        <f>D400+D404</f>
        <v>505</v>
      </c>
      <c r="P399" s="30"/>
      <c r="Q399" s="30"/>
    </row>
    <row r="400" spans="1:17" ht="15">
      <c r="A400" s="157" t="s">
        <v>521</v>
      </c>
      <c r="B400" s="147" t="s">
        <v>1104</v>
      </c>
      <c r="C400" s="147"/>
      <c r="D400" s="158">
        <f>D401</f>
        <v>0</v>
      </c>
      <c r="P400" s="30"/>
      <c r="Q400" s="30"/>
    </row>
    <row r="401" spans="1:17" ht="15">
      <c r="A401" s="195" t="s">
        <v>530</v>
      </c>
      <c r="B401" s="147" t="s">
        <v>1104</v>
      </c>
      <c r="C401" s="147" t="s">
        <v>531</v>
      </c>
      <c r="D401" s="158">
        <f>D403+D402</f>
        <v>0</v>
      </c>
      <c r="P401" s="30"/>
      <c r="Q401" s="30"/>
    </row>
    <row r="402" spans="1:17" ht="15">
      <c r="A402" s="152" t="s">
        <v>91</v>
      </c>
      <c r="B402" s="147" t="s">
        <v>1104</v>
      </c>
      <c r="C402" s="147" t="s">
        <v>38</v>
      </c>
      <c r="D402" s="158">
        <f>400-300-100</f>
        <v>0</v>
      </c>
      <c r="P402" s="30"/>
      <c r="Q402" s="30"/>
    </row>
    <row r="403" spans="1:17" ht="24">
      <c r="A403" s="152" t="s">
        <v>171</v>
      </c>
      <c r="B403" s="147" t="s">
        <v>1104</v>
      </c>
      <c r="C403" s="147" t="s">
        <v>399</v>
      </c>
      <c r="D403" s="158">
        <f>500-500+100+300-400</f>
        <v>0</v>
      </c>
      <c r="P403" s="30"/>
      <c r="Q403" s="30"/>
    </row>
    <row r="404" spans="1:17" ht="24">
      <c r="A404" s="152" t="s">
        <v>1196</v>
      </c>
      <c r="B404" s="147" t="s">
        <v>925</v>
      </c>
      <c r="C404" s="147"/>
      <c r="D404" s="158">
        <f>D405</f>
        <v>505</v>
      </c>
      <c r="P404" s="30"/>
      <c r="Q404" s="30"/>
    </row>
    <row r="405" spans="1:17" ht="15">
      <c r="A405" s="195" t="s">
        <v>530</v>
      </c>
      <c r="B405" s="147" t="s">
        <v>925</v>
      </c>
      <c r="C405" s="147" t="s">
        <v>531</v>
      </c>
      <c r="D405" s="158">
        <f>D406</f>
        <v>505</v>
      </c>
      <c r="P405" s="30"/>
      <c r="Q405" s="30"/>
    </row>
    <row r="406" spans="1:17" ht="24">
      <c r="A406" s="152" t="s">
        <v>171</v>
      </c>
      <c r="B406" s="147" t="s">
        <v>925</v>
      </c>
      <c r="C406" s="147" t="s">
        <v>399</v>
      </c>
      <c r="D406" s="158">
        <v>505</v>
      </c>
      <c r="P406" s="30"/>
      <c r="Q406" s="30"/>
    </row>
    <row r="407" spans="1:17" ht="24">
      <c r="A407" s="260" t="s">
        <v>1358</v>
      </c>
      <c r="B407" s="147" t="s">
        <v>324</v>
      </c>
      <c r="C407" s="150"/>
      <c r="D407" s="158">
        <f>D408+D415</f>
        <v>43595.3</v>
      </c>
      <c r="P407" s="30"/>
      <c r="Q407" s="30"/>
    </row>
    <row r="408" spans="1:17" ht="33.75">
      <c r="A408" s="162" t="s">
        <v>706</v>
      </c>
      <c r="B408" s="147" t="s">
        <v>707</v>
      </c>
      <c r="C408" s="147"/>
      <c r="D408" s="158">
        <f>D409+D412</f>
        <v>8348.3</v>
      </c>
      <c r="P408" s="30"/>
      <c r="Q408" s="30"/>
    </row>
    <row r="409" spans="1:17" ht="24">
      <c r="A409" s="157" t="s">
        <v>323</v>
      </c>
      <c r="B409" s="147" t="s">
        <v>708</v>
      </c>
      <c r="C409" s="147"/>
      <c r="D409" s="158">
        <f>D410</f>
        <v>2298.3</v>
      </c>
      <c r="P409" s="30"/>
      <c r="Q409" s="30"/>
    </row>
    <row r="410" spans="1:17" ht="15">
      <c r="A410" s="153" t="s">
        <v>530</v>
      </c>
      <c r="B410" s="147" t="s">
        <v>708</v>
      </c>
      <c r="C410" s="147" t="s">
        <v>531</v>
      </c>
      <c r="D410" s="158">
        <f>D411</f>
        <v>2298.3</v>
      </c>
      <c r="P410" s="30"/>
      <c r="Q410" s="30"/>
    </row>
    <row r="411" spans="1:17" ht="15">
      <c r="A411" s="152" t="s">
        <v>91</v>
      </c>
      <c r="B411" s="147" t="s">
        <v>708</v>
      </c>
      <c r="C411" s="147" t="s">
        <v>38</v>
      </c>
      <c r="D411" s="158">
        <v>2298.3</v>
      </c>
      <c r="P411" s="30"/>
      <c r="Q411" s="30"/>
    </row>
    <row r="412" spans="1:17" ht="48">
      <c r="A412" s="152" t="s">
        <v>1236</v>
      </c>
      <c r="B412" s="147" t="s">
        <v>1237</v>
      </c>
      <c r="C412" s="147"/>
      <c r="D412" s="158">
        <f>D413</f>
        <v>6050</v>
      </c>
      <c r="P412" s="30"/>
      <c r="Q412" s="30"/>
    </row>
    <row r="413" spans="1:17" ht="15">
      <c r="A413" s="153" t="s">
        <v>530</v>
      </c>
      <c r="B413" s="147" t="s">
        <v>1237</v>
      </c>
      <c r="C413" s="147" t="s">
        <v>531</v>
      </c>
      <c r="D413" s="158">
        <f>D414</f>
        <v>6050</v>
      </c>
      <c r="P413" s="30"/>
      <c r="Q413" s="30"/>
    </row>
    <row r="414" spans="1:17" ht="15">
      <c r="A414" s="152" t="s">
        <v>91</v>
      </c>
      <c r="B414" s="147" t="s">
        <v>1237</v>
      </c>
      <c r="C414" s="147" t="s">
        <v>38</v>
      </c>
      <c r="D414" s="158">
        <f>2000+2500+1550</f>
        <v>6050</v>
      </c>
      <c r="P414" s="30"/>
      <c r="Q414" s="30"/>
    </row>
    <row r="415" spans="1:17" ht="24">
      <c r="A415" s="152" t="s">
        <v>325</v>
      </c>
      <c r="B415" s="147" t="s">
        <v>326</v>
      </c>
      <c r="C415" s="147"/>
      <c r="D415" s="158">
        <f>D416</f>
        <v>35247</v>
      </c>
      <c r="P415" s="30"/>
      <c r="Q415" s="30"/>
    </row>
    <row r="416" spans="1:17" ht="24">
      <c r="A416" s="152" t="s">
        <v>498</v>
      </c>
      <c r="B416" s="147" t="s">
        <v>327</v>
      </c>
      <c r="C416" s="147"/>
      <c r="D416" s="158">
        <f>D417</f>
        <v>35247</v>
      </c>
      <c r="P416" s="30"/>
      <c r="Q416" s="30"/>
    </row>
    <row r="417" spans="1:17" ht="15">
      <c r="A417" s="195" t="s">
        <v>530</v>
      </c>
      <c r="B417" s="147" t="s">
        <v>327</v>
      </c>
      <c r="C417" s="147" t="s">
        <v>531</v>
      </c>
      <c r="D417" s="158">
        <f>D418</f>
        <v>35247</v>
      </c>
      <c r="P417" s="30"/>
      <c r="Q417" s="30"/>
    </row>
    <row r="418" spans="1:17" ht="24">
      <c r="A418" s="152" t="s">
        <v>171</v>
      </c>
      <c r="B418" s="147" t="s">
        <v>327</v>
      </c>
      <c r="C418" s="147" t="s">
        <v>399</v>
      </c>
      <c r="D418" s="158">
        <v>35247</v>
      </c>
      <c r="E418" s="274"/>
      <c r="F418" s="274"/>
      <c r="P418" s="30"/>
      <c r="Q418" s="30"/>
    </row>
    <row r="419" spans="1:17" ht="22.5">
      <c r="A419" s="230" t="s">
        <v>1362</v>
      </c>
      <c r="B419" s="231" t="s">
        <v>739</v>
      </c>
      <c r="C419" s="235"/>
      <c r="D419" s="227">
        <f>D420+D472</f>
        <v>361443.5</v>
      </c>
      <c r="J419" s="32">
        <f>D431+D434+D445+D448</f>
        <v>93065.5</v>
      </c>
      <c r="P419" s="30"/>
      <c r="Q419" s="30"/>
    </row>
    <row r="420" spans="1:17" ht="24">
      <c r="A420" s="260" t="s">
        <v>1332</v>
      </c>
      <c r="B420" s="147" t="s">
        <v>365</v>
      </c>
      <c r="C420" s="150"/>
      <c r="D420" s="158">
        <f>D421+D425+D430+D444</f>
        <v>324848.5</v>
      </c>
      <c r="P420" s="30"/>
      <c r="Q420" s="30"/>
    </row>
    <row r="421" spans="1:17" ht="22.5">
      <c r="A421" s="162" t="s">
        <v>363</v>
      </c>
      <c r="B421" s="147" t="s">
        <v>364</v>
      </c>
      <c r="C421" s="147"/>
      <c r="D421" s="158">
        <f>D422</f>
        <v>3100</v>
      </c>
      <c r="P421" s="30"/>
      <c r="Q421" s="30"/>
    </row>
    <row r="422" spans="1:17" ht="36">
      <c r="A422" s="157" t="s">
        <v>366</v>
      </c>
      <c r="B422" s="147" t="s">
        <v>367</v>
      </c>
      <c r="C422" s="147"/>
      <c r="D422" s="158">
        <f>D423</f>
        <v>3100</v>
      </c>
      <c r="P422" s="30"/>
      <c r="Q422" s="30"/>
    </row>
    <row r="423" spans="1:17" ht="24">
      <c r="A423" s="152" t="s">
        <v>490</v>
      </c>
      <c r="B423" s="147" t="s">
        <v>367</v>
      </c>
      <c r="C423" s="147" t="s">
        <v>489</v>
      </c>
      <c r="D423" s="158">
        <f>D424</f>
        <v>3100</v>
      </c>
      <c r="P423" s="30"/>
      <c r="Q423" s="30"/>
    </row>
    <row r="424" spans="1:17" ht="15">
      <c r="A424" s="157" t="s">
        <v>371</v>
      </c>
      <c r="B424" s="147" t="s">
        <v>367</v>
      </c>
      <c r="C424" s="147" t="s">
        <v>574</v>
      </c>
      <c r="D424" s="158">
        <v>3100</v>
      </c>
      <c r="P424" s="30"/>
      <c r="Q424" s="30"/>
    </row>
    <row r="425" spans="1:17" ht="33.75">
      <c r="A425" s="162" t="s">
        <v>368</v>
      </c>
      <c r="B425" s="147" t="s">
        <v>226</v>
      </c>
      <c r="C425" s="150"/>
      <c r="D425" s="158">
        <f>D426</f>
        <v>148143</v>
      </c>
      <c r="P425" s="30"/>
      <c r="Q425" s="30"/>
    </row>
    <row r="426" spans="1:17" ht="24">
      <c r="A426" s="152" t="s">
        <v>130</v>
      </c>
      <c r="B426" s="147" t="s">
        <v>369</v>
      </c>
      <c r="C426" s="150"/>
      <c r="D426" s="158">
        <f>D427</f>
        <v>148143</v>
      </c>
      <c r="P426" s="30"/>
      <c r="Q426" s="30"/>
    </row>
    <row r="427" spans="1:17" ht="24">
      <c r="A427" s="152" t="s">
        <v>490</v>
      </c>
      <c r="B427" s="147" t="s">
        <v>369</v>
      </c>
      <c r="C427" s="147" t="s">
        <v>489</v>
      </c>
      <c r="D427" s="158">
        <f>D428+D429</f>
        <v>148143</v>
      </c>
      <c r="P427" s="30"/>
      <c r="Q427" s="30"/>
    </row>
    <row r="428" spans="1:17" ht="15">
      <c r="A428" s="157" t="s">
        <v>371</v>
      </c>
      <c r="B428" s="147" t="s">
        <v>369</v>
      </c>
      <c r="C428" s="147" t="s">
        <v>574</v>
      </c>
      <c r="D428" s="158">
        <f>34459-200-193-29+9395</f>
        <v>43432</v>
      </c>
      <c r="P428" s="30"/>
      <c r="Q428" s="30"/>
    </row>
    <row r="429" spans="1:17" ht="15">
      <c r="A429" s="157" t="s">
        <v>1125</v>
      </c>
      <c r="B429" s="147" t="s">
        <v>369</v>
      </c>
      <c r="C429" s="147" t="s">
        <v>1126</v>
      </c>
      <c r="D429" s="158">
        <f>108105+100+200-430-164-5000+3500-1600</f>
        <v>104711</v>
      </c>
      <c r="P429" s="30"/>
      <c r="Q429" s="30"/>
    </row>
    <row r="430" spans="1:17" ht="45">
      <c r="A430" s="162" t="s">
        <v>227</v>
      </c>
      <c r="B430" s="147" t="s">
        <v>229</v>
      </c>
      <c r="C430" s="147"/>
      <c r="D430" s="158">
        <f>D431+D434+D436+D438+D441</f>
        <v>109206.9</v>
      </c>
      <c r="P430" s="30"/>
      <c r="Q430" s="30"/>
    </row>
    <row r="431" spans="1:17" ht="84">
      <c r="A431" s="157" t="s">
        <v>615</v>
      </c>
      <c r="B431" s="147" t="s">
        <v>950</v>
      </c>
      <c r="C431" s="147"/>
      <c r="D431" s="158">
        <f>D432</f>
        <v>29700</v>
      </c>
      <c r="P431" s="30"/>
      <c r="Q431" s="30"/>
    </row>
    <row r="432" spans="1:17" ht="24">
      <c r="A432" s="165" t="s">
        <v>461</v>
      </c>
      <c r="B432" s="147" t="s">
        <v>950</v>
      </c>
      <c r="C432" s="147" t="s">
        <v>1167</v>
      </c>
      <c r="D432" s="158">
        <f>D433</f>
        <v>29700</v>
      </c>
      <c r="P432" s="30"/>
      <c r="Q432" s="30"/>
    </row>
    <row r="433" spans="1:17" ht="36">
      <c r="A433" s="152" t="s">
        <v>1093</v>
      </c>
      <c r="B433" s="147" t="s">
        <v>950</v>
      </c>
      <c r="C433" s="147" t="s">
        <v>881</v>
      </c>
      <c r="D433" s="158">
        <v>29700</v>
      </c>
      <c r="P433" s="30"/>
      <c r="Q433" s="30"/>
    </row>
    <row r="434" spans="1:17" ht="84">
      <c r="A434" s="165" t="s">
        <v>612</v>
      </c>
      <c r="B434" s="147" t="s">
        <v>228</v>
      </c>
      <c r="C434" s="147" t="s">
        <v>1167</v>
      </c>
      <c r="D434" s="158">
        <f>D435</f>
        <v>63365.5</v>
      </c>
      <c r="P434" s="30"/>
      <c r="Q434" s="30"/>
    </row>
    <row r="435" spans="1:17" ht="36">
      <c r="A435" s="152" t="s">
        <v>1093</v>
      </c>
      <c r="B435" s="147" t="s">
        <v>228</v>
      </c>
      <c r="C435" s="147" t="s">
        <v>881</v>
      </c>
      <c r="D435" s="158">
        <f>16560+46805.5</f>
        <v>63365.5</v>
      </c>
      <c r="P435" s="30"/>
      <c r="Q435" s="30"/>
    </row>
    <row r="436" spans="1:17" ht="36">
      <c r="A436" s="198" t="s">
        <v>614</v>
      </c>
      <c r="B436" s="147" t="s">
        <v>230</v>
      </c>
      <c r="C436" s="150" t="s">
        <v>1167</v>
      </c>
      <c r="D436" s="158">
        <f>D437</f>
        <v>15841.400000000001</v>
      </c>
      <c r="P436" s="30"/>
      <c r="Q436" s="30"/>
    </row>
    <row r="437" spans="1:17" ht="36">
      <c r="A437" s="152" t="s">
        <v>1093</v>
      </c>
      <c r="B437" s="147" t="s">
        <v>230</v>
      </c>
      <c r="C437" s="150" t="s">
        <v>881</v>
      </c>
      <c r="D437" s="158">
        <f>63348-47506.6+300-300</f>
        <v>15841.400000000001</v>
      </c>
      <c r="P437" s="30"/>
      <c r="Q437" s="30"/>
    </row>
    <row r="438" spans="1:17" ht="24">
      <c r="A438" s="152" t="s">
        <v>1333</v>
      </c>
      <c r="B438" s="147" t="s">
        <v>1334</v>
      </c>
      <c r="C438" s="150"/>
      <c r="D438" s="158">
        <f>D439</f>
        <v>300</v>
      </c>
      <c r="P438" s="30"/>
      <c r="Q438" s="30"/>
    </row>
    <row r="439" spans="1:17" ht="24">
      <c r="A439" s="165" t="s">
        <v>461</v>
      </c>
      <c r="B439" s="147" t="s">
        <v>1334</v>
      </c>
      <c r="C439" s="150" t="s">
        <v>1167</v>
      </c>
      <c r="D439" s="158">
        <f>D440</f>
        <v>300</v>
      </c>
      <c r="P439" s="30"/>
      <c r="Q439" s="30"/>
    </row>
    <row r="440" spans="1:17" ht="36">
      <c r="A440" s="152" t="s">
        <v>1093</v>
      </c>
      <c r="B440" s="147" t="s">
        <v>1334</v>
      </c>
      <c r="C440" s="150" t="s">
        <v>881</v>
      </c>
      <c r="D440" s="158">
        <f>14092-14092+300</f>
        <v>300</v>
      </c>
      <c r="P440" s="30"/>
      <c r="Q440" s="30"/>
    </row>
    <row r="441" spans="1:17" ht="24">
      <c r="A441" s="152" t="s">
        <v>1622</v>
      </c>
      <c r="B441" s="147" t="s">
        <v>1623</v>
      </c>
      <c r="C441" s="150"/>
      <c r="D441" s="279">
        <f>D442</f>
        <v>0</v>
      </c>
      <c r="P441" s="30"/>
      <c r="Q441" s="30"/>
    </row>
    <row r="442" spans="1:17" ht="24">
      <c r="A442" s="285" t="s">
        <v>461</v>
      </c>
      <c r="B442" s="147" t="s">
        <v>1623</v>
      </c>
      <c r="C442" s="150" t="s">
        <v>1167</v>
      </c>
      <c r="D442" s="279">
        <f>D443</f>
        <v>0</v>
      </c>
      <c r="P442" s="30"/>
      <c r="Q442" s="30"/>
    </row>
    <row r="443" spans="1:17" ht="36">
      <c r="A443" s="152" t="s">
        <v>1093</v>
      </c>
      <c r="B443" s="147" t="s">
        <v>1623</v>
      </c>
      <c r="C443" s="150" t="s">
        <v>881</v>
      </c>
      <c r="D443" s="158">
        <v>0</v>
      </c>
      <c r="P443" s="30"/>
      <c r="Q443" s="30"/>
    </row>
    <row r="444" spans="1:17" ht="57">
      <c r="A444" s="162" t="s">
        <v>231</v>
      </c>
      <c r="B444" s="147" t="s">
        <v>232</v>
      </c>
      <c r="C444" s="150"/>
      <c r="D444" s="158">
        <f>D445+D448+D451+D455+D462+D466+D469</f>
        <v>64398.600000000006</v>
      </c>
      <c r="P444" s="30"/>
      <c r="Q444" s="30"/>
    </row>
    <row r="445" spans="1:17" ht="24">
      <c r="A445" s="152" t="s">
        <v>1241</v>
      </c>
      <c r="B445" s="147" t="s">
        <v>1242</v>
      </c>
      <c r="C445" s="150"/>
      <c r="D445" s="158">
        <f>D446</f>
        <v>0</v>
      </c>
      <c r="P445" s="30"/>
      <c r="Q445" s="30"/>
    </row>
    <row r="446" spans="1:17" ht="24">
      <c r="A446" s="152" t="s">
        <v>490</v>
      </c>
      <c r="B446" s="147" t="s">
        <v>1242</v>
      </c>
      <c r="C446" s="150" t="s">
        <v>489</v>
      </c>
      <c r="D446" s="158">
        <f>D447</f>
        <v>0</v>
      </c>
      <c r="P446" s="30"/>
      <c r="Q446" s="30"/>
    </row>
    <row r="447" spans="1:17" ht="15">
      <c r="A447" s="157" t="s">
        <v>371</v>
      </c>
      <c r="B447" s="147" t="s">
        <v>1242</v>
      </c>
      <c r="C447" s="150" t="s">
        <v>574</v>
      </c>
      <c r="D447" s="158"/>
      <c r="P447" s="30"/>
      <c r="Q447" s="30"/>
    </row>
    <row r="448" spans="1:17" ht="24">
      <c r="A448" s="152" t="s">
        <v>1243</v>
      </c>
      <c r="B448" s="147" t="s">
        <v>1244</v>
      </c>
      <c r="C448" s="150"/>
      <c r="D448" s="158">
        <f>D449</f>
        <v>0</v>
      </c>
      <c r="P448" s="30"/>
      <c r="Q448" s="30"/>
    </row>
    <row r="449" spans="1:17" ht="24">
      <c r="A449" s="152" t="s">
        <v>490</v>
      </c>
      <c r="B449" s="147" t="s">
        <v>1244</v>
      </c>
      <c r="C449" s="150" t="s">
        <v>489</v>
      </c>
      <c r="D449" s="158">
        <f>D450</f>
        <v>0</v>
      </c>
      <c r="P449" s="30"/>
      <c r="Q449" s="30"/>
    </row>
    <row r="450" spans="1:17" ht="15">
      <c r="A450" s="157" t="s">
        <v>371</v>
      </c>
      <c r="B450" s="147" t="s">
        <v>1244</v>
      </c>
      <c r="C450" s="150" t="s">
        <v>574</v>
      </c>
      <c r="D450" s="158"/>
      <c r="P450" s="30"/>
      <c r="Q450" s="30"/>
    </row>
    <row r="451" spans="1:17" ht="24">
      <c r="A451" s="152" t="s">
        <v>234</v>
      </c>
      <c r="B451" s="147" t="s">
        <v>233</v>
      </c>
      <c r="C451" s="150"/>
      <c r="D451" s="158">
        <f>D452</f>
        <v>0</v>
      </c>
      <c r="P451" s="30"/>
      <c r="Q451" s="30"/>
    </row>
    <row r="452" spans="1:17" ht="24">
      <c r="A452" s="152" t="s">
        <v>490</v>
      </c>
      <c r="B452" s="147" t="s">
        <v>233</v>
      </c>
      <c r="C452" s="150" t="s">
        <v>489</v>
      </c>
      <c r="D452" s="158">
        <f>D453+D454</f>
        <v>0</v>
      </c>
      <c r="P452" s="30"/>
      <c r="Q452" s="30"/>
    </row>
    <row r="453" spans="1:17" ht="15">
      <c r="A453" s="157" t="s">
        <v>371</v>
      </c>
      <c r="B453" s="147" t="s">
        <v>233</v>
      </c>
      <c r="C453" s="150" t="s">
        <v>574</v>
      </c>
      <c r="D453" s="158"/>
      <c r="P453" s="30"/>
      <c r="Q453" s="30"/>
    </row>
    <row r="454" spans="1:17" ht="15">
      <c r="A454" s="157" t="s">
        <v>1183</v>
      </c>
      <c r="B454" s="147" t="s">
        <v>233</v>
      </c>
      <c r="C454" s="150" t="s">
        <v>1126</v>
      </c>
      <c r="D454" s="158"/>
      <c r="P454" s="30"/>
      <c r="Q454" s="30"/>
    </row>
    <row r="455" spans="1:17" ht="24">
      <c r="A455" s="157" t="s">
        <v>235</v>
      </c>
      <c r="B455" s="147" t="s">
        <v>954</v>
      </c>
      <c r="C455" s="150"/>
      <c r="D455" s="158">
        <f>D456+D459</f>
        <v>64398.600000000006</v>
      </c>
      <c r="P455" s="30"/>
      <c r="Q455" s="30"/>
    </row>
    <row r="456" spans="1:17" ht="24">
      <c r="A456" s="152" t="s">
        <v>234</v>
      </c>
      <c r="B456" s="147" t="s">
        <v>233</v>
      </c>
      <c r="C456" s="147"/>
      <c r="D456" s="158">
        <f>D457</f>
        <v>6730</v>
      </c>
      <c r="P456" s="30"/>
      <c r="Q456" s="30"/>
    </row>
    <row r="457" spans="1:17" ht="24">
      <c r="A457" s="152" t="s">
        <v>490</v>
      </c>
      <c r="B457" s="147" t="s">
        <v>233</v>
      </c>
      <c r="C457" s="147" t="s">
        <v>489</v>
      </c>
      <c r="D457" s="158">
        <f>D458</f>
        <v>6730</v>
      </c>
      <c r="P457" s="30"/>
      <c r="Q457" s="30"/>
    </row>
    <row r="458" spans="1:17" ht="15">
      <c r="A458" s="157" t="s">
        <v>1183</v>
      </c>
      <c r="B458" s="147" t="s">
        <v>233</v>
      </c>
      <c r="C458" s="147" t="s">
        <v>1126</v>
      </c>
      <c r="D458" s="158">
        <f>5000-470+2200</f>
        <v>6730</v>
      </c>
      <c r="P458" s="30"/>
      <c r="Q458" s="30"/>
    </row>
    <row r="459" spans="1:17" ht="24">
      <c r="A459" s="152" t="s">
        <v>490</v>
      </c>
      <c r="B459" s="147" t="s">
        <v>954</v>
      </c>
      <c r="C459" s="150" t="s">
        <v>489</v>
      </c>
      <c r="D459" s="158">
        <f>D460+D461</f>
        <v>57668.600000000006</v>
      </c>
      <c r="P459" s="30"/>
      <c r="Q459" s="30"/>
    </row>
    <row r="460" spans="1:17" ht="15">
      <c r="A460" s="157" t="s">
        <v>371</v>
      </c>
      <c r="B460" s="147" t="s">
        <v>954</v>
      </c>
      <c r="C460" s="150" t="s">
        <v>574</v>
      </c>
      <c r="D460" s="158"/>
      <c r="P460" s="30"/>
      <c r="Q460" s="30"/>
    </row>
    <row r="461" spans="1:17" ht="15">
      <c r="A461" s="157" t="s">
        <v>1183</v>
      </c>
      <c r="B461" s="147" t="s">
        <v>954</v>
      </c>
      <c r="C461" s="150" t="s">
        <v>1126</v>
      </c>
      <c r="D461" s="158">
        <f>35647.8+25950.8-16647.8+13147.8-300-130</f>
        <v>57668.600000000006</v>
      </c>
      <c r="P461" s="30"/>
      <c r="Q461" s="30"/>
    </row>
    <row r="462" spans="1:17" ht="24">
      <c r="A462" s="157" t="s">
        <v>236</v>
      </c>
      <c r="B462" s="147" t="s">
        <v>237</v>
      </c>
      <c r="C462" s="147"/>
      <c r="D462" s="158">
        <f>D463</f>
        <v>0</v>
      </c>
      <c r="P462" s="30"/>
      <c r="Q462" s="30"/>
    </row>
    <row r="463" spans="1:17" ht="24">
      <c r="A463" s="152" t="s">
        <v>490</v>
      </c>
      <c r="B463" s="147" t="s">
        <v>237</v>
      </c>
      <c r="C463" s="147" t="s">
        <v>489</v>
      </c>
      <c r="D463" s="158">
        <f>D464+D465</f>
        <v>0</v>
      </c>
      <c r="P463" s="30"/>
      <c r="Q463" s="30"/>
    </row>
    <row r="464" spans="1:17" ht="15">
      <c r="A464" s="157" t="s">
        <v>371</v>
      </c>
      <c r="B464" s="147" t="s">
        <v>237</v>
      </c>
      <c r="C464" s="147" t="s">
        <v>574</v>
      </c>
      <c r="D464" s="158"/>
      <c r="P464" s="30"/>
      <c r="Q464" s="30"/>
    </row>
    <row r="465" spans="1:17" ht="15">
      <c r="A465" s="157" t="s">
        <v>1183</v>
      </c>
      <c r="B465" s="147" t="s">
        <v>237</v>
      </c>
      <c r="C465" s="147" t="s">
        <v>1126</v>
      </c>
      <c r="D465" s="158"/>
      <c r="P465" s="30"/>
      <c r="Q465" s="30"/>
    </row>
    <row r="466" spans="1:17" ht="24">
      <c r="A466" s="153" t="s">
        <v>1245</v>
      </c>
      <c r="B466" s="147" t="s">
        <v>962</v>
      </c>
      <c r="C466" s="147"/>
      <c r="D466" s="158">
        <f>D467</f>
        <v>0</v>
      </c>
      <c r="P466" s="30"/>
      <c r="Q466" s="30"/>
    </row>
    <row r="467" spans="1:17" ht="24">
      <c r="A467" s="153" t="s">
        <v>490</v>
      </c>
      <c r="B467" s="147" t="s">
        <v>962</v>
      </c>
      <c r="C467" s="147" t="s">
        <v>489</v>
      </c>
      <c r="D467" s="158">
        <f>D468</f>
        <v>0</v>
      </c>
      <c r="P467" s="30"/>
      <c r="Q467" s="30"/>
    </row>
    <row r="468" spans="1:17" ht="15">
      <c r="A468" s="157" t="s">
        <v>371</v>
      </c>
      <c r="B468" s="147" t="s">
        <v>962</v>
      </c>
      <c r="C468" s="147" t="s">
        <v>574</v>
      </c>
      <c r="D468" s="158"/>
      <c r="P468" s="30"/>
      <c r="Q468" s="30"/>
    </row>
    <row r="469" spans="1:17" ht="24">
      <c r="A469" s="153" t="s">
        <v>1246</v>
      </c>
      <c r="B469" s="147" t="s">
        <v>963</v>
      </c>
      <c r="C469" s="147"/>
      <c r="D469" s="158">
        <f>D470</f>
        <v>0</v>
      </c>
      <c r="P469" s="30"/>
      <c r="Q469" s="30"/>
    </row>
    <row r="470" spans="1:17" ht="24">
      <c r="A470" s="153" t="s">
        <v>490</v>
      </c>
      <c r="B470" s="147" t="s">
        <v>963</v>
      </c>
      <c r="C470" s="147" t="s">
        <v>489</v>
      </c>
      <c r="D470" s="158">
        <f>D471</f>
        <v>0</v>
      </c>
      <c r="P470" s="30"/>
      <c r="Q470" s="30"/>
    </row>
    <row r="471" spans="1:17" ht="15">
      <c r="A471" s="157" t="s">
        <v>371</v>
      </c>
      <c r="B471" s="147" t="s">
        <v>963</v>
      </c>
      <c r="C471" s="147" t="s">
        <v>574</v>
      </c>
      <c r="D471" s="158"/>
      <c r="P471" s="30"/>
      <c r="Q471" s="30"/>
    </row>
    <row r="472" spans="1:17" ht="24">
      <c r="A472" s="260" t="s">
        <v>1320</v>
      </c>
      <c r="B472" s="147" t="s">
        <v>740</v>
      </c>
      <c r="C472" s="150"/>
      <c r="D472" s="158">
        <f>D473+D476</f>
        <v>36595</v>
      </c>
      <c r="P472" s="30"/>
      <c r="Q472" s="30"/>
    </row>
    <row r="473" spans="1:17" ht="22.5">
      <c r="A473" s="162" t="s">
        <v>738</v>
      </c>
      <c r="B473" s="147" t="s">
        <v>741</v>
      </c>
      <c r="C473" s="147"/>
      <c r="D473" s="158">
        <f>D474</f>
        <v>33595</v>
      </c>
      <c r="P473" s="30"/>
      <c r="Q473" s="30"/>
    </row>
    <row r="474" spans="1:17" ht="24">
      <c r="A474" s="152" t="s">
        <v>490</v>
      </c>
      <c r="B474" s="147" t="s">
        <v>741</v>
      </c>
      <c r="C474" s="147" t="s">
        <v>489</v>
      </c>
      <c r="D474" s="158">
        <f>D475</f>
        <v>33595</v>
      </c>
      <c r="P474" s="30"/>
      <c r="Q474" s="30"/>
    </row>
    <row r="475" spans="1:17" ht="15">
      <c r="A475" s="186" t="s">
        <v>371</v>
      </c>
      <c r="B475" s="147" t="s">
        <v>741</v>
      </c>
      <c r="C475" s="187" t="s">
        <v>574</v>
      </c>
      <c r="D475" s="158">
        <f>32929-73+50-220+502+407</f>
        <v>33595</v>
      </c>
      <c r="P475" s="30"/>
      <c r="Q475" s="30"/>
    </row>
    <row r="476" spans="1:17" ht="22.5">
      <c r="A476" s="263" t="s">
        <v>742</v>
      </c>
      <c r="B476" s="147" t="s">
        <v>743</v>
      </c>
      <c r="C476" s="187"/>
      <c r="D476" s="158">
        <f>D477</f>
        <v>3000</v>
      </c>
      <c r="P476" s="30"/>
      <c r="Q476" s="30"/>
    </row>
    <row r="477" spans="1:17" ht="24">
      <c r="A477" s="152" t="s">
        <v>490</v>
      </c>
      <c r="B477" s="147" t="s">
        <v>743</v>
      </c>
      <c r="C477" s="187" t="s">
        <v>489</v>
      </c>
      <c r="D477" s="158">
        <f>D478</f>
        <v>3000</v>
      </c>
      <c r="P477" s="30"/>
      <c r="Q477" s="30"/>
    </row>
    <row r="478" spans="1:17" ht="15">
      <c r="A478" s="186" t="s">
        <v>371</v>
      </c>
      <c r="B478" s="147" t="s">
        <v>743</v>
      </c>
      <c r="C478" s="187" t="s">
        <v>574</v>
      </c>
      <c r="D478" s="158">
        <v>3000</v>
      </c>
      <c r="P478" s="30"/>
      <c r="Q478" s="30"/>
    </row>
    <row r="479" spans="1:17" ht="22.5">
      <c r="A479" s="307" t="s">
        <v>1350</v>
      </c>
      <c r="B479" s="308" t="s">
        <v>41</v>
      </c>
      <c r="C479" s="235"/>
      <c r="D479" s="227">
        <f>D480+D485</f>
        <v>5219</v>
      </c>
      <c r="J479" s="32">
        <f>D487</f>
        <v>1480.5</v>
      </c>
      <c r="P479" s="30"/>
      <c r="Q479" s="30"/>
    </row>
    <row r="480" spans="1:17" ht="24">
      <c r="A480" s="330" t="s">
        <v>1784</v>
      </c>
      <c r="B480" s="147" t="s">
        <v>1783</v>
      </c>
      <c r="C480" s="170"/>
      <c r="D480" s="155">
        <f>D483</f>
        <v>2702</v>
      </c>
      <c r="J480" s="32"/>
      <c r="P480" s="30"/>
      <c r="Q480" s="30"/>
    </row>
    <row r="481" spans="1:17" ht="48">
      <c r="A481" s="326" t="s">
        <v>1782</v>
      </c>
      <c r="B481" s="147" t="s">
        <v>1785</v>
      </c>
      <c r="C481" s="170"/>
      <c r="D481" s="155">
        <f>D482</f>
        <v>2702</v>
      </c>
      <c r="J481" s="32"/>
      <c r="P481" s="30"/>
      <c r="Q481" s="30"/>
    </row>
    <row r="482" spans="1:17" ht="36">
      <c r="A482" s="153" t="s">
        <v>1659</v>
      </c>
      <c r="B482" s="147" t="s">
        <v>1786</v>
      </c>
      <c r="C482" s="147"/>
      <c r="D482" s="325">
        <f>D483</f>
        <v>2702</v>
      </c>
      <c r="J482" s="32"/>
      <c r="P482" s="30"/>
      <c r="Q482" s="30"/>
    </row>
    <row r="483" spans="1:17" ht="24">
      <c r="A483" s="153" t="s">
        <v>1066</v>
      </c>
      <c r="B483" s="147" t="s">
        <v>1786</v>
      </c>
      <c r="C483" s="147" t="s">
        <v>529</v>
      </c>
      <c r="D483" s="325">
        <f>D484</f>
        <v>2702</v>
      </c>
      <c r="J483" s="32"/>
      <c r="P483" s="30"/>
      <c r="Q483" s="30"/>
    </row>
    <row r="484" spans="1:17" ht="15">
      <c r="A484" s="153" t="s">
        <v>974</v>
      </c>
      <c r="B484" s="147" t="s">
        <v>1786</v>
      </c>
      <c r="C484" s="147" t="s">
        <v>429</v>
      </c>
      <c r="D484" s="161">
        <v>2702</v>
      </c>
      <c r="J484" s="32"/>
      <c r="P484" s="30"/>
      <c r="Q484" s="30"/>
    </row>
    <row r="485" spans="1:17" ht="24">
      <c r="A485" s="260" t="s">
        <v>126</v>
      </c>
      <c r="B485" s="147" t="s">
        <v>42</v>
      </c>
      <c r="C485" s="150"/>
      <c r="D485" s="158">
        <f>D486</f>
        <v>2517</v>
      </c>
      <c r="P485" s="30"/>
      <c r="Q485" s="30"/>
    </row>
    <row r="486" spans="1:17" ht="36">
      <c r="A486" s="157" t="s">
        <v>322</v>
      </c>
      <c r="B486" s="147" t="s">
        <v>43</v>
      </c>
      <c r="C486" s="150"/>
      <c r="D486" s="158">
        <f>D487+D490</f>
        <v>2517</v>
      </c>
      <c r="P486" s="30"/>
      <c r="Q486" s="30"/>
    </row>
    <row r="487" spans="1:17" ht="36">
      <c r="A487" s="152" t="s">
        <v>1702</v>
      </c>
      <c r="B487" s="147" t="s">
        <v>1703</v>
      </c>
      <c r="C487" s="147"/>
      <c r="D487" s="158">
        <f>D488</f>
        <v>1480.5</v>
      </c>
      <c r="P487" s="30"/>
      <c r="Q487" s="30"/>
    </row>
    <row r="488" spans="1:17" ht="15">
      <c r="A488" s="153" t="s">
        <v>530</v>
      </c>
      <c r="B488" s="147" t="s">
        <v>1703</v>
      </c>
      <c r="C488" s="147" t="s">
        <v>531</v>
      </c>
      <c r="D488" s="158">
        <f>D489</f>
        <v>1480.5</v>
      </c>
      <c r="P488" s="30"/>
      <c r="Q488" s="30"/>
    </row>
    <row r="489" spans="1:17" ht="24">
      <c r="A489" s="157" t="s">
        <v>171</v>
      </c>
      <c r="B489" s="147" t="s">
        <v>1703</v>
      </c>
      <c r="C489" s="147" t="s">
        <v>399</v>
      </c>
      <c r="D489" s="158">
        <f>1036.4+444.1</f>
        <v>1480.5</v>
      </c>
      <c r="P489" s="30"/>
      <c r="Q489" s="30"/>
    </row>
    <row r="490" spans="1:17" ht="36">
      <c r="A490" s="182" t="s">
        <v>177</v>
      </c>
      <c r="B490" s="147" t="s">
        <v>44</v>
      </c>
      <c r="C490" s="150"/>
      <c r="D490" s="158">
        <f>D491</f>
        <v>1036.5</v>
      </c>
      <c r="P490" s="30"/>
      <c r="Q490" s="30"/>
    </row>
    <row r="491" spans="1:17" ht="15">
      <c r="A491" s="153" t="s">
        <v>530</v>
      </c>
      <c r="B491" s="147" t="s">
        <v>44</v>
      </c>
      <c r="C491" s="150" t="s">
        <v>531</v>
      </c>
      <c r="D491" s="158">
        <f>D492</f>
        <v>1036.5</v>
      </c>
      <c r="P491" s="30"/>
      <c r="Q491" s="30"/>
    </row>
    <row r="492" spans="1:17" ht="24">
      <c r="A492" s="157" t="s">
        <v>171</v>
      </c>
      <c r="B492" s="147" t="s">
        <v>44</v>
      </c>
      <c r="C492" s="150" t="s">
        <v>399</v>
      </c>
      <c r="D492" s="158">
        <f>998.6+37.9</f>
        <v>1036.5</v>
      </c>
      <c r="P492" s="30"/>
      <c r="Q492" s="30"/>
    </row>
    <row r="493" spans="1:17" ht="22.5">
      <c r="A493" s="230" t="s">
        <v>1439</v>
      </c>
      <c r="B493" s="231" t="s">
        <v>915</v>
      </c>
      <c r="C493" s="235"/>
      <c r="D493" s="227">
        <f>D494+D513+D518</f>
        <v>9705</v>
      </c>
      <c r="P493" s="30"/>
      <c r="Q493" s="30"/>
    </row>
    <row r="494" spans="1:17" ht="24">
      <c r="A494" s="260" t="s">
        <v>1440</v>
      </c>
      <c r="B494" s="147" t="s">
        <v>916</v>
      </c>
      <c r="C494" s="150"/>
      <c r="D494" s="158">
        <f>D495+D499+D503+D507</f>
        <v>4700</v>
      </c>
      <c r="P494" s="30"/>
      <c r="Q494" s="30"/>
    </row>
    <row r="495" spans="1:17" ht="22.5">
      <c r="A495" s="162" t="s">
        <v>913</v>
      </c>
      <c r="B495" s="253" t="s">
        <v>918</v>
      </c>
      <c r="C495" s="147"/>
      <c r="D495" s="158">
        <f>D496</f>
        <v>0</v>
      </c>
      <c r="P495" s="30"/>
      <c r="Q495" s="30"/>
    </row>
    <row r="496" spans="1:17" ht="15">
      <c r="A496" s="152" t="s">
        <v>914</v>
      </c>
      <c r="B496" s="147" t="s">
        <v>917</v>
      </c>
      <c r="C496" s="147"/>
      <c r="D496" s="158">
        <f>D497</f>
        <v>0</v>
      </c>
      <c r="P496" s="30"/>
      <c r="Q496" s="30"/>
    </row>
    <row r="497" spans="1:17" ht="15">
      <c r="A497" s="153" t="s">
        <v>974</v>
      </c>
      <c r="B497" s="147" t="s">
        <v>917</v>
      </c>
      <c r="C497" s="147" t="s">
        <v>529</v>
      </c>
      <c r="D497" s="158">
        <f>D498</f>
        <v>0</v>
      </c>
      <c r="P497" s="30"/>
      <c r="Q497" s="30"/>
    </row>
    <row r="498" spans="1:17" ht="15">
      <c r="A498" s="153" t="s">
        <v>931</v>
      </c>
      <c r="B498" s="147" t="s">
        <v>917</v>
      </c>
      <c r="C498" s="147" t="s">
        <v>429</v>
      </c>
      <c r="D498" s="158"/>
      <c r="P498" s="30"/>
      <c r="Q498" s="30"/>
    </row>
    <row r="499" spans="1:17" ht="24">
      <c r="A499" s="239" t="s">
        <v>103</v>
      </c>
      <c r="B499" s="147" t="s">
        <v>104</v>
      </c>
      <c r="C499" s="147"/>
      <c r="D499" s="158">
        <f>D500</f>
        <v>4500</v>
      </c>
      <c r="P499" s="30"/>
      <c r="Q499" s="30"/>
    </row>
    <row r="500" spans="1:17" ht="24">
      <c r="A500" s="157" t="s">
        <v>1006</v>
      </c>
      <c r="B500" s="147" t="s">
        <v>105</v>
      </c>
      <c r="C500" s="147"/>
      <c r="D500" s="158">
        <f>D501</f>
        <v>4500</v>
      </c>
      <c r="P500" s="30"/>
      <c r="Q500" s="30"/>
    </row>
    <row r="501" spans="1:17" ht="15">
      <c r="A501" s="157" t="s">
        <v>573</v>
      </c>
      <c r="B501" s="147" t="s">
        <v>105</v>
      </c>
      <c r="C501" s="147" t="s">
        <v>489</v>
      </c>
      <c r="D501" s="158">
        <f>D502</f>
        <v>4500</v>
      </c>
      <c r="P501" s="30"/>
      <c r="Q501" s="30"/>
    </row>
    <row r="502" spans="1:17" ht="24">
      <c r="A502" s="157" t="s">
        <v>572</v>
      </c>
      <c r="B502" s="147" t="s">
        <v>105</v>
      </c>
      <c r="C502" s="147" t="s">
        <v>574</v>
      </c>
      <c r="D502" s="158">
        <f>2000+2500</f>
        <v>4500</v>
      </c>
      <c r="P502" s="30"/>
      <c r="Q502" s="30"/>
    </row>
    <row r="503" spans="1:17" ht="33.75">
      <c r="A503" s="162" t="s">
        <v>106</v>
      </c>
      <c r="B503" s="147" t="s">
        <v>107</v>
      </c>
      <c r="C503" s="147"/>
      <c r="D503" s="158">
        <f>D504</f>
        <v>100</v>
      </c>
      <c r="P503" s="30"/>
      <c r="Q503" s="30"/>
    </row>
    <row r="504" spans="1:17" ht="24">
      <c r="A504" s="157" t="s">
        <v>108</v>
      </c>
      <c r="B504" s="147" t="s">
        <v>109</v>
      </c>
      <c r="C504" s="147"/>
      <c r="D504" s="158">
        <f>D505</f>
        <v>100</v>
      </c>
      <c r="P504" s="30"/>
      <c r="Q504" s="30"/>
    </row>
    <row r="505" spans="1:17" ht="15">
      <c r="A505" s="153" t="s">
        <v>985</v>
      </c>
      <c r="B505" s="147" t="s">
        <v>109</v>
      </c>
      <c r="C505" s="169" t="s">
        <v>986</v>
      </c>
      <c r="D505" s="158">
        <f>D506</f>
        <v>100</v>
      </c>
      <c r="P505" s="30"/>
      <c r="Q505" s="30"/>
    </row>
    <row r="506" spans="1:17" ht="15">
      <c r="A506" s="157" t="s">
        <v>987</v>
      </c>
      <c r="B506" s="147" t="s">
        <v>109</v>
      </c>
      <c r="C506" s="147" t="s">
        <v>988</v>
      </c>
      <c r="D506" s="158">
        <v>100</v>
      </c>
      <c r="P506" s="30"/>
      <c r="Q506" s="30"/>
    </row>
    <row r="507" spans="1:17" ht="15">
      <c r="A507" s="162" t="s">
        <v>110</v>
      </c>
      <c r="B507" s="147" t="s">
        <v>112</v>
      </c>
      <c r="C507" s="147"/>
      <c r="D507" s="158">
        <f>D508</f>
        <v>100</v>
      </c>
      <c r="P507" s="30"/>
      <c r="Q507" s="30"/>
    </row>
    <row r="508" spans="1:17" ht="15">
      <c r="A508" s="157" t="s">
        <v>111</v>
      </c>
      <c r="B508" s="147" t="s">
        <v>113</v>
      </c>
      <c r="C508" s="147"/>
      <c r="D508" s="158">
        <f>D509+D511</f>
        <v>100</v>
      </c>
      <c r="P508" s="30"/>
      <c r="Q508" s="30"/>
    </row>
    <row r="509" spans="1:17" ht="15">
      <c r="A509" s="153" t="s">
        <v>974</v>
      </c>
      <c r="B509" s="147" t="s">
        <v>113</v>
      </c>
      <c r="C509" s="147" t="s">
        <v>529</v>
      </c>
      <c r="D509" s="158">
        <f>D510</f>
        <v>0</v>
      </c>
      <c r="P509" s="30"/>
      <c r="Q509" s="30"/>
    </row>
    <row r="510" spans="1:17" ht="15">
      <c r="A510" s="153" t="s">
        <v>931</v>
      </c>
      <c r="B510" s="147" t="s">
        <v>113</v>
      </c>
      <c r="C510" s="147" t="s">
        <v>429</v>
      </c>
      <c r="D510" s="158"/>
      <c r="P510" s="30"/>
      <c r="Q510" s="30"/>
    </row>
    <row r="511" spans="1:17" ht="15">
      <c r="A511" s="153" t="s">
        <v>985</v>
      </c>
      <c r="B511" s="147" t="s">
        <v>113</v>
      </c>
      <c r="C511" s="147" t="s">
        <v>986</v>
      </c>
      <c r="D511" s="158">
        <f>D512</f>
        <v>100</v>
      </c>
      <c r="P511" s="30"/>
      <c r="Q511" s="30"/>
    </row>
    <row r="512" spans="1:17" ht="15">
      <c r="A512" s="157" t="s">
        <v>987</v>
      </c>
      <c r="B512" s="147" t="s">
        <v>113</v>
      </c>
      <c r="C512" s="147" t="s">
        <v>988</v>
      </c>
      <c r="D512" s="158">
        <v>100</v>
      </c>
      <c r="P512" s="30"/>
      <c r="Q512" s="30"/>
    </row>
    <row r="513" spans="1:17" ht="24">
      <c r="A513" s="260" t="s">
        <v>1438</v>
      </c>
      <c r="B513" s="150" t="s">
        <v>146</v>
      </c>
      <c r="C513" s="150"/>
      <c r="D513" s="158">
        <f>D514</f>
        <v>160</v>
      </c>
      <c r="P513" s="30"/>
      <c r="Q513" s="30"/>
    </row>
    <row r="514" spans="1:17" ht="24">
      <c r="A514" s="239" t="s">
        <v>145</v>
      </c>
      <c r="B514" s="147" t="s">
        <v>147</v>
      </c>
      <c r="C514" s="147"/>
      <c r="D514" s="158">
        <f>D515</f>
        <v>160</v>
      </c>
      <c r="P514" s="30"/>
      <c r="Q514" s="30"/>
    </row>
    <row r="515" spans="1:17" ht="15">
      <c r="A515" s="159" t="s">
        <v>148</v>
      </c>
      <c r="B515" s="147" t="s">
        <v>149</v>
      </c>
      <c r="C515" s="147"/>
      <c r="D515" s="158">
        <f>D516</f>
        <v>160</v>
      </c>
      <c r="P515" s="30"/>
      <c r="Q515" s="30"/>
    </row>
    <row r="516" spans="1:17" ht="15">
      <c r="A516" s="153" t="s">
        <v>974</v>
      </c>
      <c r="B516" s="147" t="s">
        <v>149</v>
      </c>
      <c r="C516" s="147" t="s">
        <v>529</v>
      </c>
      <c r="D516" s="158">
        <f>D517</f>
        <v>160</v>
      </c>
      <c r="P516" s="30"/>
      <c r="Q516" s="30"/>
    </row>
    <row r="517" spans="1:17" ht="15">
      <c r="A517" s="153" t="s">
        <v>931</v>
      </c>
      <c r="B517" s="147" t="s">
        <v>149</v>
      </c>
      <c r="C517" s="147" t="s">
        <v>429</v>
      </c>
      <c r="D517" s="158">
        <v>160</v>
      </c>
      <c r="P517" s="30"/>
      <c r="Q517" s="30"/>
    </row>
    <row r="518" spans="1:17" ht="48">
      <c r="A518" s="260" t="s">
        <v>1441</v>
      </c>
      <c r="B518" s="147" t="s">
        <v>150</v>
      </c>
      <c r="C518" s="150"/>
      <c r="D518" s="158">
        <f>D519+D523+D527</f>
        <v>4845</v>
      </c>
      <c r="P518" s="30"/>
      <c r="Q518" s="30"/>
    </row>
    <row r="519" spans="1:17" ht="22.5">
      <c r="A519" s="162" t="s">
        <v>580</v>
      </c>
      <c r="B519" s="147" t="s">
        <v>151</v>
      </c>
      <c r="C519" s="147"/>
      <c r="D519" s="158">
        <f>D520</f>
        <v>4045</v>
      </c>
      <c r="P519" s="30"/>
      <c r="Q519" s="30"/>
    </row>
    <row r="520" spans="1:17" ht="24">
      <c r="A520" s="152" t="s">
        <v>581</v>
      </c>
      <c r="B520" s="147" t="s">
        <v>152</v>
      </c>
      <c r="C520" s="147"/>
      <c r="D520" s="158">
        <f>D521</f>
        <v>4045</v>
      </c>
      <c r="P520" s="30"/>
      <c r="Q520" s="30"/>
    </row>
    <row r="521" spans="1:17" ht="15">
      <c r="A521" s="157" t="s">
        <v>573</v>
      </c>
      <c r="B521" s="147" t="s">
        <v>152</v>
      </c>
      <c r="C521" s="169" t="s">
        <v>489</v>
      </c>
      <c r="D521" s="158">
        <f>D522</f>
        <v>4045</v>
      </c>
      <c r="P521" s="30"/>
      <c r="Q521" s="30"/>
    </row>
    <row r="522" spans="1:17" ht="24">
      <c r="A522" s="157" t="s">
        <v>572</v>
      </c>
      <c r="B522" s="147" t="s">
        <v>152</v>
      </c>
      <c r="C522" s="169" t="s">
        <v>574</v>
      </c>
      <c r="D522" s="158">
        <v>4045</v>
      </c>
      <c r="P522" s="30"/>
      <c r="Q522" s="30"/>
    </row>
    <row r="523" spans="1:17" ht="22.5">
      <c r="A523" s="162" t="s">
        <v>1204</v>
      </c>
      <c r="B523" s="147" t="s">
        <v>1191</v>
      </c>
      <c r="C523" s="169"/>
      <c r="D523" s="158">
        <f>D524</f>
        <v>500</v>
      </c>
      <c r="P523" s="30"/>
      <c r="Q523" s="30"/>
    </row>
    <row r="524" spans="1:17" ht="15">
      <c r="A524" s="157" t="s">
        <v>1205</v>
      </c>
      <c r="B524" s="147" t="s">
        <v>1206</v>
      </c>
      <c r="C524" s="169"/>
      <c r="D524" s="158">
        <f>D525</f>
        <v>500</v>
      </c>
      <c r="P524" s="30"/>
      <c r="Q524" s="30"/>
    </row>
    <row r="525" spans="1:17" ht="15">
      <c r="A525" s="153" t="s">
        <v>974</v>
      </c>
      <c r="B525" s="147" t="s">
        <v>1206</v>
      </c>
      <c r="C525" s="169" t="s">
        <v>529</v>
      </c>
      <c r="D525" s="158">
        <f>D526</f>
        <v>500</v>
      </c>
      <c r="P525" s="30"/>
      <c r="Q525" s="30"/>
    </row>
    <row r="526" spans="1:17" ht="15">
      <c r="A526" s="153" t="s">
        <v>931</v>
      </c>
      <c r="B526" s="147" t="s">
        <v>1206</v>
      </c>
      <c r="C526" s="169" t="s">
        <v>429</v>
      </c>
      <c r="D526" s="158">
        <v>500</v>
      </c>
      <c r="P526" s="30"/>
      <c r="Q526" s="30"/>
    </row>
    <row r="527" spans="1:17" ht="24">
      <c r="A527" s="239" t="s">
        <v>1207</v>
      </c>
      <c r="B527" s="253" t="s">
        <v>1209</v>
      </c>
      <c r="C527" s="169"/>
      <c r="D527" s="158">
        <f>D528</f>
        <v>300</v>
      </c>
      <c r="P527" s="30"/>
      <c r="Q527" s="30"/>
    </row>
    <row r="528" spans="1:17" ht="15">
      <c r="A528" s="153" t="s">
        <v>547</v>
      </c>
      <c r="B528" s="147" t="s">
        <v>1208</v>
      </c>
      <c r="C528" s="169"/>
      <c r="D528" s="158">
        <f>D529</f>
        <v>300</v>
      </c>
      <c r="P528" s="30"/>
      <c r="Q528" s="30"/>
    </row>
    <row r="529" spans="1:17" ht="15">
      <c r="A529" s="153" t="s">
        <v>974</v>
      </c>
      <c r="B529" s="147" t="s">
        <v>1208</v>
      </c>
      <c r="C529" s="169" t="s">
        <v>529</v>
      </c>
      <c r="D529" s="158">
        <f>D530</f>
        <v>300</v>
      </c>
      <c r="P529" s="30"/>
      <c r="Q529" s="30"/>
    </row>
    <row r="530" spans="1:17" ht="15">
      <c r="A530" s="153" t="s">
        <v>931</v>
      </c>
      <c r="B530" s="147" t="s">
        <v>1208</v>
      </c>
      <c r="C530" s="169" t="s">
        <v>429</v>
      </c>
      <c r="D530" s="158">
        <v>300</v>
      </c>
      <c r="P530" s="30"/>
      <c r="Q530" s="30"/>
    </row>
    <row r="531" spans="1:17" ht="22.5">
      <c r="A531" s="230" t="s">
        <v>1363</v>
      </c>
      <c r="B531" s="231" t="s">
        <v>193</v>
      </c>
      <c r="C531" s="235"/>
      <c r="D531" s="227">
        <f>D532+D562+D567+D581+D590</f>
        <v>55238.5</v>
      </c>
      <c r="J531" s="32">
        <f>D572</f>
        <v>2403</v>
      </c>
      <c r="P531" s="30"/>
      <c r="Q531" s="30"/>
    </row>
    <row r="532" spans="1:17" ht="48">
      <c r="A532" s="260" t="s">
        <v>1364</v>
      </c>
      <c r="B532" s="147" t="s">
        <v>194</v>
      </c>
      <c r="C532" s="150"/>
      <c r="D532" s="158">
        <f>D533+D540+D546+D550+D554+D558</f>
        <v>7837</v>
      </c>
      <c r="P532" s="30"/>
      <c r="Q532" s="30"/>
    </row>
    <row r="533" spans="1:17" ht="33.75">
      <c r="A533" s="162" t="s">
        <v>1445</v>
      </c>
      <c r="B533" s="147" t="s">
        <v>195</v>
      </c>
      <c r="C533" s="147"/>
      <c r="D533" s="158">
        <f>D534</f>
        <v>2000</v>
      </c>
      <c r="P533" s="30"/>
      <c r="Q533" s="30"/>
    </row>
    <row r="534" spans="1:17" ht="24">
      <c r="A534" s="152" t="s">
        <v>196</v>
      </c>
      <c r="B534" s="147" t="s">
        <v>197</v>
      </c>
      <c r="C534" s="147"/>
      <c r="D534" s="158">
        <f>D535+D537</f>
        <v>2000</v>
      </c>
      <c r="P534" s="30"/>
      <c r="Q534" s="30"/>
    </row>
    <row r="535" spans="1:17" ht="15">
      <c r="A535" s="153" t="s">
        <v>974</v>
      </c>
      <c r="B535" s="147" t="s">
        <v>197</v>
      </c>
      <c r="C535" s="147" t="s">
        <v>529</v>
      </c>
      <c r="D535" s="158">
        <f>D536</f>
        <v>100</v>
      </c>
      <c r="P535" s="30"/>
      <c r="Q535" s="30"/>
    </row>
    <row r="536" spans="1:17" ht="15">
      <c r="A536" s="153" t="s">
        <v>931</v>
      </c>
      <c r="B536" s="147" t="s">
        <v>197</v>
      </c>
      <c r="C536" s="147" t="s">
        <v>429</v>
      </c>
      <c r="D536" s="158">
        <f>100</f>
        <v>100</v>
      </c>
      <c r="P536" s="30"/>
      <c r="Q536" s="30"/>
    </row>
    <row r="537" spans="1:17" ht="15">
      <c r="A537" s="153" t="s">
        <v>985</v>
      </c>
      <c r="B537" s="147" t="s">
        <v>197</v>
      </c>
      <c r="C537" s="147" t="s">
        <v>986</v>
      </c>
      <c r="D537" s="158">
        <f>D538+D539</f>
        <v>1900</v>
      </c>
      <c r="P537" s="30"/>
      <c r="Q537" s="30"/>
    </row>
    <row r="538" spans="1:17" ht="15">
      <c r="A538" s="157" t="s">
        <v>929</v>
      </c>
      <c r="B538" s="147" t="s">
        <v>197</v>
      </c>
      <c r="C538" s="147" t="s">
        <v>930</v>
      </c>
      <c r="D538" s="158">
        <f>2000-100</f>
        <v>1900</v>
      </c>
      <c r="P538" s="30"/>
      <c r="Q538" s="30"/>
    </row>
    <row r="539" spans="1:17" ht="15">
      <c r="A539" s="157" t="s">
        <v>987</v>
      </c>
      <c r="B539" s="147" t="s">
        <v>197</v>
      </c>
      <c r="C539" s="147" t="s">
        <v>988</v>
      </c>
      <c r="D539" s="158"/>
      <c r="P539" s="30"/>
      <c r="Q539" s="30"/>
    </row>
    <row r="540" spans="1:17" ht="36">
      <c r="A540" s="157" t="s">
        <v>1448</v>
      </c>
      <c r="B540" s="147" t="s">
        <v>1446</v>
      </c>
      <c r="C540" s="147"/>
      <c r="D540" s="158">
        <f>D541</f>
        <v>542</v>
      </c>
      <c r="P540" s="30"/>
      <c r="Q540" s="30"/>
    </row>
    <row r="541" spans="1:17" ht="24">
      <c r="A541" s="152" t="s">
        <v>196</v>
      </c>
      <c r="B541" s="147" t="s">
        <v>1447</v>
      </c>
      <c r="C541" s="10"/>
      <c r="D541" s="158">
        <f>D542+D544</f>
        <v>542</v>
      </c>
      <c r="P541" s="30"/>
      <c r="Q541" s="30"/>
    </row>
    <row r="542" spans="1:17" ht="24">
      <c r="A542" s="153" t="s">
        <v>1066</v>
      </c>
      <c r="B542" s="147" t="s">
        <v>1447</v>
      </c>
      <c r="C542" s="147" t="s">
        <v>529</v>
      </c>
      <c r="D542" s="158">
        <f>D543</f>
        <v>74</v>
      </c>
      <c r="P542" s="30"/>
      <c r="Q542" s="30"/>
    </row>
    <row r="543" spans="1:17" ht="15">
      <c r="A543" s="153" t="s">
        <v>591</v>
      </c>
      <c r="B543" s="147" t="s">
        <v>1447</v>
      </c>
      <c r="C543" s="147" t="s">
        <v>429</v>
      </c>
      <c r="D543" s="158">
        <f>1000+22-948</f>
        <v>74</v>
      </c>
      <c r="P543" s="30"/>
      <c r="Q543" s="30"/>
    </row>
    <row r="544" spans="1:17" ht="15">
      <c r="A544" s="153" t="s">
        <v>985</v>
      </c>
      <c r="B544" s="147" t="s">
        <v>1447</v>
      </c>
      <c r="C544" s="147" t="s">
        <v>986</v>
      </c>
      <c r="D544" s="158">
        <f>D545</f>
        <v>468</v>
      </c>
      <c r="P544" s="30"/>
      <c r="Q544" s="30"/>
    </row>
    <row r="545" spans="1:17" ht="15">
      <c r="A545" s="157" t="s">
        <v>987</v>
      </c>
      <c r="B545" s="147" t="s">
        <v>1447</v>
      </c>
      <c r="C545" s="147" t="s">
        <v>988</v>
      </c>
      <c r="D545" s="158">
        <f>490-22</f>
        <v>468</v>
      </c>
      <c r="P545" s="30"/>
      <c r="Q545" s="30"/>
    </row>
    <row r="546" spans="1:17" ht="24">
      <c r="A546" s="157" t="s">
        <v>1451</v>
      </c>
      <c r="B546" s="147" t="s">
        <v>1449</v>
      </c>
      <c r="C546" s="147"/>
      <c r="D546" s="158">
        <f>D547</f>
        <v>150</v>
      </c>
      <c r="P546" s="30"/>
      <c r="Q546" s="30"/>
    </row>
    <row r="547" spans="1:17" ht="24">
      <c r="A547" s="152" t="s">
        <v>196</v>
      </c>
      <c r="B547" s="147" t="s">
        <v>1450</v>
      </c>
      <c r="C547" s="147"/>
      <c r="D547" s="158">
        <f>D548</f>
        <v>150</v>
      </c>
      <c r="P547" s="30"/>
      <c r="Q547" s="30"/>
    </row>
    <row r="548" spans="1:17" ht="24">
      <c r="A548" s="153" t="s">
        <v>1066</v>
      </c>
      <c r="B548" s="147" t="s">
        <v>1450</v>
      </c>
      <c r="C548" s="147" t="s">
        <v>529</v>
      </c>
      <c r="D548" s="158">
        <f>D549</f>
        <v>150</v>
      </c>
      <c r="P548" s="30"/>
      <c r="Q548" s="30"/>
    </row>
    <row r="549" spans="1:17" ht="15">
      <c r="A549" s="153" t="s">
        <v>591</v>
      </c>
      <c r="B549" s="147" t="s">
        <v>1450</v>
      </c>
      <c r="C549" s="147" t="s">
        <v>429</v>
      </c>
      <c r="D549" s="158">
        <v>150</v>
      </c>
      <c r="P549" s="30"/>
      <c r="Q549" s="30"/>
    </row>
    <row r="550" spans="1:17" ht="24">
      <c r="A550" s="153" t="s">
        <v>1456</v>
      </c>
      <c r="B550" s="147" t="s">
        <v>1452</v>
      </c>
      <c r="C550" s="147"/>
      <c r="D550" s="158">
        <f>D551</f>
        <v>150</v>
      </c>
      <c r="P550" s="30"/>
      <c r="Q550" s="30"/>
    </row>
    <row r="551" spans="1:17" ht="24">
      <c r="A551" s="152" t="s">
        <v>196</v>
      </c>
      <c r="B551" s="147" t="s">
        <v>1453</v>
      </c>
      <c r="C551" s="147"/>
      <c r="D551" s="158">
        <f>D552</f>
        <v>150</v>
      </c>
      <c r="P551" s="30"/>
      <c r="Q551" s="30"/>
    </row>
    <row r="552" spans="1:17" ht="24">
      <c r="A552" s="153" t="s">
        <v>1066</v>
      </c>
      <c r="B552" s="147" t="s">
        <v>1453</v>
      </c>
      <c r="C552" s="147" t="s">
        <v>529</v>
      </c>
      <c r="D552" s="158">
        <f>D553</f>
        <v>150</v>
      </c>
      <c r="P552" s="30"/>
      <c r="Q552" s="30"/>
    </row>
    <row r="553" spans="1:17" ht="15">
      <c r="A553" s="153" t="s">
        <v>591</v>
      </c>
      <c r="B553" s="147" t="s">
        <v>1453</v>
      </c>
      <c r="C553" s="147" t="s">
        <v>429</v>
      </c>
      <c r="D553" s="158">
        <v>150</v>
      </c>
      <c r="P553" s="30"/>
      <c r="Q553" s="30"/>
    </row>
    <row r="554" spans="1:17" ht="36">
      <c r="A554" s="153" t="s">
        <v>1457</v>
      </c>
      <c r="B554" s="147" t="s">
        <v>1454</v>
      </c>
      <c r="C554" s="147"/>
      <c r="D554" s="158">
        <f>D555</f>
        <v>350</v>
      </c>
      <c r="P554" s="30"/>
      <c r="Q554" s="30"/>
    </row>
    <row r="555" spans="1:17" ht="24">
      <c r="A555" s="152" t="s">
        <v>196</v>
      </c>
      <c r="B555" s="147" t="s">
        <v>1455</v>
      </c>
      <c r="C555" s="147"/>
      <c r="D555" s="158">
        <f>D556</f>
        <v>350</v>
      </c>
      <c r="P555" s="30"/>
      <c r="Q555" s="30"/>
    </row>
    <row r="556" spans="1:17" ht="24">
      <c r="A556" s="153" t="s">
        <v>1066</v>
      </c>
      <c r="B556" s="147" t="s">
        <v>1455</v>
      </c>
      <c r="C556" s="147" t="s">
        <v>529</v>
      </c>
      <c r="D556" s="158">
        <f>D557</f>
        <v>350</v>
      </c>
      <c r="P556" s="30"/>
      <c r="Q556" s="30"/>
    </row>
    <row r="557" spans="1:17" ht="15">
      <c r="A557" s="153" t="s">
        <v>591</v>
      </c>
      <c r="B557" s="147" t="s">
        <v>1455</v>
      </c>
      <c r="C557" s="147" t="s">
        <v>429</v>
      </c>
      <c r="D557" s="158">
        <v>350</v>
      </c>
      <c r="P557" s="30"/>
      <c r="Q557" s="30"/>
    </row>
    <row r="558" spans="1:17" ht="24">
      <c r="A558" s="153" t="s">
        <v>840</v>
      </c>
      <c r="B558" s="147" t="s">
        <v>1780</v>
      </c>
      <c r="C558" s="147"/>
      <c r="D558" s="155">
        <f>D559</f>
        <v>4645</v>
      </c>
      <c r="P558" s="30"/>
      <c r="Q558" s="30"/>
    </row>
    <row r="559" spans="1:17" ht="15">
      <c r="A559" s="153" t="s">
        <v>841</v>
      </c>
      <c r="B559" s="147" t="s">
        <v>1781</v>
      </c>
      <c r="C559" s="147"/>
      <c r="D559" s="155">
        <f>D560</f>
        <v>4645</v>
      </c>
      <c r="P559" s="30"/>
      <c r="Q559" s="30"/>
    </row>
    <row r="560" spans="1:17" ht="48">
      <c r="A560" s="153" t="s">
        <v>1065</v>
      </c>
      <c r="B560" s="147" t="s">
        <v>1781</v>
      </c>
      <c r="C560" s="147" t="s">
        <v>960</v>
      </c>
      <c r="D560" s="155">
        <f>D561</f>
        <v>4645</v>
      </c>
      <c r="P560" s="30"/>
      <c r="Q560" s="30"/>
    </row>
    <row r="561" spans="1:17" ht="15">
      <c r="A561" s="152" t="s">
        <v>1165</v>
      </c>
      <c r="B561" s="147" t="s">
        <v>1781</v>
      </c>
      <c r="C561" s="147" t="s">
        <v>1166</v>
      </c>
      <c r="D561" s="158">
        <v>4645</v>
      </c>
      <c r="P561" s="30"/>
      <c r="Q561" s="30"/>
    </row>
    <row r="562" spans="1:17" ht="36">
      <c r="A562" s="260" t="s">
        <v>1365</v>
      </c>
      <c r="B562" s="147" t="s">
        <v>333</v>
      </c>
      <c r="C562" s="150"/>
      <c r="D562" s="158">
        <f>D563</f>
        <v>2000</v>
      </c>
      <c r="P562" s="30"/>
      <c r="Q562" s="30"/>
    </row>
    <row r="563" spans="1:17" ht="68.25">
      <c r="A563" s="162" t="s">
        <v>1458</v>
      </c>
      <c r="B563" s="147" t="s">
        <v>334</v>
      </c>
      <c r="C563" s="147"/>
      <c r="D563" s="158">
        <f>D564</f>
        <v>2000</v>
      </c>
      <c r="P563" s="30"/>
      <c r="Q563" s="30"/>
    </row>
    <row r="564" spans="1:17" ht="36">
      <c r="A564" s="152" t="s">
        <v>332</v>
      </c>
      <c r="B564" s="147" t="s">
        <v>335</v>
      </c>
      <c r="C564" s="147"/>
      <c r="D564" s="158">
        <f>D565</f>
        <v>2000</v>
      </c>
      <c r="P564" s="30"/>
      <c r="Q564" s="30"/>
    </row>
    <row r="565" spans="1:17" ht="24">
      <c r="A565" s="153" t="s">
        <v>1066</v>
      </c>
      <c r="B565" s="147" t="s">
        <v>335</v>
      </c>
      <c r="C565" s="147" t="s">
        <v>529</v>
      </c>
      <c r="D565" s="158">
        <f>D566</f>
        <v>2000</v>
      </c>
      <c r="P565" s="30"/>
      <c r="Q565" s="30"/>
    </row>
    <row r="566" spans="1:17" ht="15">
      <c r="A566" s="153" t="s">
        <v>591</v>
      </c>
      <c r="B566" s="147" t="s">
        <v>335</v>
      </c>
      <c r="C566" s="147" t="s">
        <v>429</v>
      </c>
      <c r="D566" s="158">
        <f>1500+500</f>
        <v>2000</v>
      </c>
      <c r="P566" s="30"/>
      <c r="Q566" s="30"/>
    </row>
    <row r="567" spans="1:17" ht="24">
      <c r="A567" s="260" t="s">
        <v>1296</v>
      </c>
      <c r="B567" s="147" t="s">
        <v>340</v>
      </c>
      <c r="C567" s="147"/>
      <c r="D567" s="158">
        <f>D568+D576</f>
        <v>13085</v>
      </c>
      <c r="P567" s="30"/>
      <c r="Q567" s="30"/>
    </row>
    <row r="568" spans="1:17" ht="22.5">
      <c r="A568" s="162" t="s">
        <v>1462</v>
      </c>
      <c r="B568" s="147" t="s">
        <v>341</v>
      </c>
      <c r="C568" s="147"/>
      <c r="D568" s="158">
        <f>D569+D572</f>
        <v>5103</v>
      </c>
      <c r="P568" s="30"/>
      <c r="Q568" s="30"/>
    </row>
    <row r="569" spans="1:17" ht="15">
      <c r="A569" s="152" t="s">
        <v>202</v>
      </c>
      <c r="B569" s="147" t="s">
        <v>342</v>
      </c>
      <c r="C569" s="147"/>
      <c r="D569" s="158">
        <f>D570</f>
        <v>2700</v>
      </c>
      <c r="P569" s="30"/>
      <c r="Q569" s="30"/>
    </row>
    <row r="570" spans="1:17" ht="24">
      <c r="A570" s="153" t="s">
        <v>1066</v>
      </c>
      <c r="B570" s="147" t="s">
        <v>342</v>
      </c>
      <c r="C570" s="147" t="s">
        <v>529</v>
      </c>
      <c r="D570" s="158">
        <f>D571</f>
        <v>2700</v>
      </c>
      <c r="P570" s="30"/>
      <c r="Q570" s="30"/>
    </row>
    <row r="571" spans="1:17" ht="15">
      <c r="A571" s="153" t="s">
        <v>974</v>
      </c>
      <c r="B571" s="147" t="s">
        <v>342</v>
      </c>
      <c r="C571" s="147" t="s">
        <v>429</v>
      </c>
      <c r="D571" s="158">
        <f>900+1400+400</f>
        <v>2700</v>
      </c>
      <c r="P571" s="30"/>
      <c r="Q571" s="30"/>
    </row>
    <row r="572" spans="1:17" ht="36">
      <c r="A572" s="153" t="s">
        <v>1637</v>
      </c>
      <c r="B572" s="147" t="s">
        <v>1638</v>
      </c>
      <c r="C572" s="147"/>
      <c r="D572" s="158">
        <f>D573</f>
        <v>2403</v>
      </c>
      <c r="P572" s="30"/>
      <c r="Q572" s="30"/>
    </row>
    <row r="573" spans="1:17" ht="24">
      <c r="A573" s="153" t="s">
        <v>1066</v>
      </c>
      <c r="B573" s="147" t="s">
        <v>1638</v>
      </c>
      <c r="C573" s="147" t="s">
        <v>529</v>
      </c>
      <c r="D573" s="158">
        <f>D574</f>
        <v>2403</v>
      </c>
      <c r="P573" s="30"/>
      <c r="Q573" s="30"/>
    </row>
    <row r="574" spans="1:17" ht="15">
      <c r="A574" s="153" t="s">
        <v>974</v>
      </c>
      <c r="B574" s="147" t="s">
        <v>1638</v>
      </c>
      <c r="C574" s="147" t="s">
        <v>429</v>
      </c>
      <c r="D574" s="158">
        <v>2403</v>
      </c>
      <c r="P574" s="30"/>
      <c r="Q574" s="30"/>
    </row>
    <row r="575" spans="1:17" ht="24">
      <c r="A575" s="239" t="s">
        <v>1465</v>
      </c>
      <c r="B575" s="147" t="s">
        <v>1463</v>
      </c>
      <c r="C575" s="147"/>
      <c r="D575" s="158">
        <f>D576</f>
        <v>7982</v>
      </c>
      <c r="P575" s="30"/>
      <c r="Q575" s="30"/>
    </row>
    <row r="576" spans="1:17" ht="15">
      <c r="A576" s="152" t="s">
        <v>202</v>
      </c>
      <c r="B576" s="147" t="s">
        <v>1464</v>
      </c>
      <c r="C576" s="147"/>
      <c r="D576" s="158">
        <f>D577+D579</f>
        <v>7982</v>
      </c>
      <c r="P576" s="30"/>
      <c r="Q576" s="30"/>
    </row>
    <row r="577" spans="1:17" ht="24">
      <c r="A577" s="153" t="s">
        <v>1066</v>
      </c>
      <c r="B577" s="147" t="s">
        <v>1464</v>
      </c>
      <c r="C577" s="147" t="s">
        <v>529</v>
      </c>
      <c r="D577" s="158">
        <f>D578</f>
        <v>7882</v>
      </c>
      <c r="P577" s="30"/>
      <c r="Q577" s="30"/>
    </row>
    <row r="578" spans="1:17" ht="15">
      <c r="A578" s="153" t="s">
        <v>974</v>
      </c>
      <c r="B578" s="147" t="s">
        <v>1464</v>
      </c>
      <c r="C578" s="147" t="s">
        <v>429</v>
      </c>
      <c r="D578" s="158">
        <f>580+100+7202</f>
        <v>7882</v>
      </c>
      <c r="P578" s="30"/>
      <c r="Q578" s="30"/>
    </row>
    <row r="579" spans="1:17" ht="15">
      <c r="A579" s="153" t="s">
        <v>985</v>
      </c>
      <c r="B579" s="147" t="s">
        <v>1464</v>
      </c>
      <c r="C579" s="147" t="s">
        <v>986</v>
      </c>
      <c r="D579" s="158">
        <f>D580</f>
        <v>100</v>
      </c>
      <c r="P579" s="30"/>
      <c r="Q579" s="30"/>
    </row>
    <row r="580" spans="1:17" ht="15">
      <c r="A580" s="157" t="s">
        <v>987</v>
      </c>
      <c r="B580" s="147" t="s">
        <v>1464</v>
      </c>
      <c r="C580" s="147" t="s">
        <v>988</v>
      </c>
      <c r="D580" s="158">
        <v>100</v>
      </c>
      <c r="P580" s="30"/>
      <c r="Q580" s="30"/>
    </row>
    <row r="581" spans="1:17" ht="27.75" customHeight="1">
      <c r="A581" s="259" t="s">
        <v>1295</v>
      </c>
      <c r="B581" s="147" t="s">
        <v>337</v>
      </c>
      <c r="C581" s="147"/>
      <c r="D581" s="158">
        <f>D582+D586</f>
        <v>1349.1</v>
      </c>
      <c r="P581" s="30"/>
      <c r="Q581" s="30"/>
    </row>
    <row r="582" spans="1:17" ht="35.25">
      <c r="A582" s="239" t="s">
        <v>1459</v>
      </c>
      <c r="B582" s="147" t="s">
        <v>338</v>
      </c>
      <c r="C582" s="147"/>
      <c r="D582" s="158">
        <f>D583</f>
        <v>400</v>
      </c>
      <c r="P582" s="30"/>
      <c r="Q582" s="30"/>
    </row>
    <row r="583" spans="1:17" ht="24">
      <c r="A583" s="153" t="s">
        <v>336</v>
      </c>
      <c r="B583" s="147" t="s">
        <v>339</v>
      </c>
      <c r="C583" s="147"/>
      <c r="D583" s="158">
        <f>D584</f>
        <v>400</v>
      </c>
      <c r="P583" s="30"/>
      <c r="Q583" s="30"/>
    </row>
    <row r="584" spans="1:17" ht="24">
      <c r="A584" s="153" t="s">
        <v>1066</v>
      </c>
      <c r="B584" s="147" t="s">
        <v>339</v>
      </c>
      <c r="C584" s="147" t="s">
        <v>529</v>
      </c>
      <c r="D584" s="158">
        <f>D585</f>
        <v>400</v>
      </c>
      <c r="P584" s="30"/>
      <c r="Q584" s="30"/>
    </row>
    <row r="585" spans="1:17" ht="15">
      <c r="A585" s="153" t="s">
        <v>591</v>
      </c>
      <c r="B585" s="147" t="s">
        <v>339</v>
      </c>
      <c r="C585" s="147" t="s">
        <v>429</v>
      </c>
      <c r="D585" s="158">
        <v>400</v>
      </c>
      <c r="P585" s="30"/>
      <c r="Q585" s="30"/>
    </row>
    <row r="586" spans="1:17" ht="24">
      <c r="A586" s="153" t="s">
        <v>1460</v>
      </c>
      <c r="B586" s="147" t="s">
        <v>1487</v>
      </c>
      <c r="C586" s="147"/>
      <c r="D586" s="158">
        <f>D587</f>
        <v>949.0999999999999</v>
      </c>
      <c r="P586" s="30"/>
      <c r="Q586" s="30"/>
    </row>
    <row r="587" spans="1:17" ht="15">
      <c r="A587" s="153" t="s">
        <v>1461</v>
      </c>
      <c r="B587" s="147" t="s">
        <v>1488</v>
      </c>
      <c r="C587" s="147"/>
      <c r="D587" s="158">
        <f>D588</f>
        <v>949.0999999999999</v>
      </c>
      <c r="P587" s="30"/>
      <c r="Q587" s="30"/>
    </row>
    <row r="588" spans="1:17" ht="24">
      <c r="A588" s="153" t="s">
        <v>1066</v>
      </c>
      <c r="B588" s="147" t="s">
        <v>1488</v>
      </c>
      <c r="C588" s="147" t="s">
        <v>680</v>
      </c>
      <c r="D588" s="158">
        <f>D589</f>
        <v>949.0999999999999</v>
      </c>
      <c r="P588" s="30"/>
      <c r="Q588" s="30"/>
    </row>
    <row r="589" spans="1:17" ht="15">
      <c r="A589" s="153" t="s">
        <v>591</v>
      </c>
      <c r="B589" s="147" t="s">
        <v>1488</v>
      </c>
      <c r="C589" s="147" t="s">
        <v>429</v>
      </c>
      <c r="D589" s="158">
        <f>1849.1-900</f>
        <v>949.0999999999999</v>
      </c>
      <c r="P589" s="30"/>
      <c r="Q589" s="30"/>
    </row>
    <row r="590" spans="1:17" ht="24">
      <c r="A590" s="15" t="s">
        <v>1297</v>
      </c>
      <c r="B590" s="147" t="s">
        <v>203</v>
      </c>
      <c r="C590" s="147"/>
      <c r="D590" s="158">
        <f>D591+D595+D599+D605+D609+D615+D619+D623</f>
        <v>30967.4</v>
      </c>
      <c r="P590" s="30"/>
      <c r="Q590" s="30"/>
    </row>
    <row r="591" spans="1:17" ht="48">
      <c r="A591" s="15" t="s">
        <v>1466</v>
      </c>
      <c r="B591" s="147" t="s">
        <v>204</v>
      </c>
      <c r="C591" s="147"/>
      <c r="D591" s="158">
        <f>D592</f>
        <v>1404</v>
      </c>
      <c r="P591" s="30"/>
      <c r="Q591" s="30"/>
    </row>
    <row r="592" spans="1:17" ht="36">
      <c r="A592" s="15" t="s">
        <v>1468</v>
      </c>
      <c r="B592" s="147" t="s">
        <v>1467</v>
      </c>
      <c r="C592" s="147"/>
      <c r="D592" s="158">
        <f>D593</f>
        <v>1404</v>
      </c>
      <c r="P592" s="30"/>
      <c r="Q592" s="30"/>
    </row>
    <row r="593" spans="1:17" ht="24">
      <c r="A593" s="153" t="s">
        <v>1066</v>
      </c>
      <c r="B593" s="147" t="s">
        <v>1467</v>
      </c>
      <c r="C593" s="147" t="s">
        <v>529</v>
      </c>
      <c r="D593" s="158">
        <f>D594</f>
        <v>1404</v>
      </c>
      <c r="P593" s="30"/>
      <c r="Q593" s="30"/>
    </row>
    <row r="594" spans="1:17" ht="15">
      <c r="A594" s="153" t="s">
        <v>591</v>
      </c>
      <c r="B594" s="147" t="s">
        <v>1467</v>
      </c>
      <c r="C594" s="147" t="s">
        <v>429</v>
      </c>
      <c r="D594" s="158">
        <f>485+919</f>
        <v>1404</v>
      </c>
      <c r="P594" s="30"/>
      <c r="Q594" s="30"/>
    </row>
    <row r="595" spans="1:17" ht="24">
      <c r="A595" s="153" t="s">
        <v>1469</v>
      </c>
      <c r="B595" s="253" t="s">
        <v>207</v>
      </c>
      <c r="C595" s="147"/>
      <c r="D595" s="158">
        <f>D596</f>
        <v>1310</v>
      </c>
      <c r="P595" s="30"/>
      <c r="Q595" s="30"/>
    </row>
    <row r="596" spans="1:17" ht="24">
      <c r="A596" s="153" t="s">
        <v>205</v>
      </c>
      <c r="B596" s="147" t="s">
        <v>206</v>
      </c>
      <c r="C596" s="147"/>
      <c r="D596" s="158">
        <f>D597</f>
        <v>1310</v>
      </c>
      <c r="P596" s="30"/>
      <c r="Q596" s="30"/>
    </row>
    <row r="597" spans="1:17" ht="24">
      <c r="A597" s="153" t="s">
        <v>1066</v>
      </c>
      <c r="B597" s="147" t="s">
        <v>206</v>
      </c>
      <c r="C597" s="147" t="s">
        <v>529</v>
      </c>
      <c r="D597" s="158">
        <f>D598</f>
        <v>1310</v>
      </c>
      <c r="P597" s="30"/>
      <c r="Q597" s="30"/>
    </row>
    <row r="598" spans="1:17" ht="15">
      <c r="A598" s="153" t="s">
        <v>591</v>
      </c>
      <c r="B598" s="147" t="s">
        <v>206</v>
      </c>
      <c r="C598" s="147" t="s">
        <v>429</v>
      </c>
      <c r="D598" s="158">
        <f>3300-1990</f>
        <v>1310</v>
      </c>
      <c r="P598" s="30"/>
      <c r="Q598" s="30"/>
    </row>
    <row r="599" spans="1:17" ht="24">
      <c r="A599" s="153" t="s">
        <v>208</v>
      </c>
      <c r="B599" s="147" t="s">
        <v>209</v>
      </c>
      <c r="C599" s="147"/>
      <c r="D599" s="158">
        <f>D600</f>
        <v>3123</v>
      </c>
      <c r="P599" s="30"/>
      <c r="Q599" s="30"/>
    </row>
    <row r="600" spans="1:17" ht="24">
      <c r="A600" s="153" t="s">
        <v>205</v>
      </c>
      <c r="B600" s="147" t="s">
        <v>210</v>
      </c>
      <c r="C600" s="147"/>
      <c r="D600" s="158">
        <f>D601+D603</f>
        <v>3123</v>
      </c>
      <c r="P600" s="30"/>
      <c r="Q600" s="30"/>
    </row>
    <row r="601" spans="1:17" ht="24">
      <c r="A601" s="153" t="s">
        <v>1066</v>
      </c>
      <c r="B601" s="147" t="s">
        <v>210</v>
      </c>
      <c r="C601" s="147" t="s">
        <v>529</v>
      </c>
      <c r="D601" s="158">
        <f>D602</f>
        <v>23</v>
      </c>
      <c r="P601" s="30"/>
      <c r="Q601" s="30"/>
    </row>
    <row r="602" spans="1:17" ht="15">
      <c r="A602" s="153" t="s">
        <v>591</v>
      </c>
      <c r="B602" s="147" t="s">
        <v>210</v>
      </c>
      <c r="C602" s="147" t="s">
        <v>429</v>
      </c>
      <c r="D602" s="158">
        <f>23</f>
        <v>23</v>
      </c>
      <c r="P602" s="30"/>
      <c r="Q602" s="30"/>
    </row>
    <row r="603" spans="1:17" ht="15">
      <c r="A603" s="153" t="s">
        <v>985</v>
      </c>
      <c r="B603" s="147" t="s">
        <v>210</v>
      </c>
      <c r="C603" s="147" t="s">
        <v>986</v>
      </c>
      <c r="D603" s="158">
        <f>D604</f>
        <v>3100</v>
      </c>
      <c r="P603" s="30"/>
      <c r="Q603" s="30"/>
    </row>
    <row r="604" spans="1:17" ht="15">
      <c r="A604" s="157" t="s">
        <v>987</v>
      </c>
      <c r="B604" s="147" t="s">
        <v>210</v>
      </c>
      <c r="C604" s="147" t="s">
        <v>988</v>
      </c>
      <c r="D604" s="158">
        <f>3100</f>
        <v>3100</v>
      </c>
      <c r="P604" s="30"/>
      <c r="Q604" s="30"/>
    </row>
    <row r="605" spans="1:17" ht="24">
      <c r="A605" s="153" t="s">
        <v>1471</v>
      </c>
      <c r="B605" s="147" t="s">
        <v>1470</v>
      </c>
      <c r="C605" s="147"/>
      <c r="D605" s="158">
        <f>D606</f>
        <v>25</v>
      </c>
      <c r="P605" s="30"/>
      <c r="Q605" s="30"/>
    </row>
    <row r="606" spans="1:17" ht="15">
      <c r="A606" s="153" t="s">
        <v>1472</v>
      </c>
      <c r="B606" s="147" t="s">
        <v>1475</v>
      </c>
      <c r="C606" s="147"/>
      <c r="D606" s="158">
        <f>D607</f>
        <v>25</v>
      </c>
      <c r="P606" s="30"/>
      <c r="Q606" s="30"/>
    </row>
    <row r="607" spans="1:17" ht="24">
      <c r="A607" s="153" t="s">
        <v>1066</v>
      </c>
      <c r="B607" s="147" t="s">
        <v>1475</v>
      </c>
      <c r="C607" s="147" t="s">
        <v>529</v>
      </c>
      <c r="D607" s="158">
        <f>D608</f>
        <v>25</v>
      </c>
      <c r="P607" s="30"/>
      <c r="Q607" s="30"/>
    </row>
    <row r="608" spans="1:17" ht="15">
      <c r="A608" s="153" t="s">
        <v>591</v>
      </c>
      <c r="B608" s="147" t="s">
        <v>1475</v>
      </c>
      <c r="C608" s="147" t="s">
        <v>429</v>
      </c>
      <c r="D608" s="158">
        <v>25</v>
      </c>
      <c r="P608" s="30"/>
      <c r="Q608" s="30"/>
    </row>
    <row r="609" spans="1:17" ht="36">
      <c r="A609" s="153" t="s">
        <v>1544</v>
      </c>
      <c r="B609" s="147" t="s">
        <v>1473</v>
      </c>
      <c r="C609" s="147"/>
      <c r="D609" s="158">
        <f>D610</f>
        <v>24750.4</v>
      </c>
      <c r="P609" s="30"/>
      <c r="Q609" s="30"/>
    </row>
    <row r="610" spans="1:17" ht="24">
      <c r="A610" s="15" t="s">
        <v>201</v>
      </c>
      <c r="B610" s="147" t="s">
        <v>1474</v>
      </c>
      <c r="C610" s="147"/>
      <c r="D610" s="158">
        <f>D611+D613</f>
        <v>24750.4</v>
      </c>
      <c r="P610" s="30"/>
      <c r="Q610" s="30"/>
    </row>
    <row r="611" spans="1:17" ht="24">
      <c r="A611" s="153" t="s">
        <v>1066</v>
      </c>
      <c r="B611" s="147" t="s">
        <v>1474</v>
      </c>
      <c r="C611" s="147" t="s">
        <v>529</v>
      </c>
      <c r="D611" s="158">
        <f>D612</f>
        <v>16750.4</v>
      </c>
      <c r="P611" s="30"/>
      <c r="Q611" s="30"/>
    </row>
    <row r="612" spans="1:17" ht="15">
      <c r="A612" s="153" t="s">
        <v>591</v>
      </c>
      <c r="B612" s="147" t="s">
        <v>1474</v>
      </c>
      <c r="C612" s="147" t="s">
        <v>429</v>
      </c>
      <c r="D612" s="158">
        <f>7214.4+1071+8465</f>
        <v>16750.4</v>
      </c>
      <c r="P612" s="30"/>
      <c r="Q612" s="30"/>
    </row>
    <row r="613" spans="1:17" ht="24">
      <c r="A613" s="152" t="s">
        <v>490</v>
      </c>
      <c r="B613" s="147" t="s">
        <v>1474</v>
      </c>
      <c r="C613" s="147" t="s">
        <v>489</v>
      </c>
      <c r="D613" s="158">
        <f>D614</f>
        <v>8000</v>
      </c>
      <c r="P613" s="30"/>
      <c r="Q613" s="30"/>
    </row>
    <row r="614" spans="1:17" ht="15">
      <c r="A614" s="157" t="s">
        <v>1125</v>
      </c>
      <c r="B614" s="147" t="s">
        <v>1474</v>
      </c>
      <c r="C614" s="147" t="s">
        <v>1126</v>
      </c>
      <c r="D614" s="158">
        <v>8000</v>
      </c>
      <c r="P614" s="30"/>
      <c r="Q614" s="30"/>
    </row>
    <row r="615" spans="1:17" ht="48">
      <c r="A615" s="153" t="s">
        <v>1482</v>
      </c>
      <c r="B615" s="147" t="s">
        <v>1476</v>
      </c>
      <c r="C615" s="147"/>
      <c r="D615" s="158">
        <f>D616</f>
        <v>30</v>
      </c>
      <c r="P615" s="30"/>
      <c r="Q615" s="30"/>
    </row>
    <row r="616" spans="1:17" ht="24">
      <c r="A616" s="153" t="s">
        <v>1483</v>
      </c>
      <c r="B616" s="147" t="s">
        <v>1477</v>
      </c>
      <c r="C616" s="147"/>
      <c r="D616" s="158">
        <f>D617</f>
        <v>30</v>
      </c>
      <c r="P616" s="30"/>
      <c r="Q616" s="30"/>
    </row>
    <row r="617" spans="1:17" ht="24">
      <c r="A617" s="153" t="s">
        <v>1066</v>
      </c>
      <c r="B617" s="147" t="s">
        <v>1477</v>
      </c>
      <c r="C617" s="147" t="s">
        <v>529</v>
      </c>
      <c r="D617" s="158">
        <f>D618</f>
        <v>30</v>
      </c>
      <c r="P617" s="30"/>
      <c r="Q617" s="30"/>
    </row>
    <row r="618" spans="1:17" ht="15">
      <c r="A618" s="153" t="s">
        <v>591</v>
      </c>
      <c r="B618" s="147" t="s">
        <v>1477</v>
      </c>
      <c r="C618" s="147" t="s">
        <v>429</v>
      </c>
      <c r="D618" s="158">
        <v>30</v>
      </c>
      <c r="P618" s="30"/>
      <c r="Q618" s="30"/>
    </row>
    <row r="619" spans="1:17" ht="15">
      <c r="A619" s="153" t="s">
        <v>1484</v>
      </c>
      <c r="B619" s="147" t="s">
        <v>1478</v>
      </c>
      <c r="C619" s="147"/>
      <c r="D619" s="158">
        <f>D620</f>
        <v>300</v>
      </c>
      <c r="P619" s="30"/>
      <c r="Q619" s="30"/>
    </row>
    <row r="620" spans="1:17" ht="15">
      <c r="A620" s="153" t="s">
        <v>1485</v>
      </c>
      <c r="B620" s="147" t="s">
        <v>1479</v>
      </c>
      <c r="C620" s="147"/>
      <c r="D620" s="158">
        <f>D621</f>
        <v>300</v>
      </c>
      <c r="P620" s="30"/>
      <c r="Q620" s="30"/>
    </row>
    <row r="621" spans="1:17" ht="24">
      <c r="A621" s="153" t="s">
        <v>1066</v>
      </c>
      <c r="B621" s="147" t="s">
        <v>1479</v>
      </c>
      <c r="C621" s="147" t="s">
        <v>529</v>
      </c>
      <c r="D621" s="158">
        <f>D622</f>
        <v>300</v>
      </c>
      <c r="P621" s="30"/>
      <c r="Q621" s="30"/>
    </row>
    <row r="622" spans="1:17" ht="15">
      <c r="A622" s="153" t="s">
        <v>591</v>
      </c>
      <c r="B622" s="147" t="s">
        <v>1479</v>
      </c>
      <c r="C622" s="147" t="s">
        <v>429</v>
      </c>
      <c r="D622" s="158">
        <v>300</v>
      </c>
      <c r="P622" s="30"/>
      <c r="Q622" s="30"/>
    </row>
    <row r="623" spans="1:17" ht="24">
      <c r="A623" s="153" t="s">
        <v>1486</v>
      </c>
      <c r="B623" s="147" t="s">
        <v>1480</v>
      </c>
      <c r="C623" s="147"/>
      <c r="D623" s="158">
        <f>D624</f>
        <v>25</v>
      </c>
      <c r="P623" s="30"/>
      <c r="Q623" s="30"/>
    </row>
    <row r="624" spans="1:17" ht="15">
      <c r="A624" s="153" t="s">
        <v>1485</v>
      </c>
      <c r="B624" s="147" t="s">
        <v>1481</v>
      </c>
      <c r="C624" s="147"/>
      <c r="D624" s="158">
        <f>D625</f>
        <v>25</v>
      </c>
      <c r="P624" s="30"/>
      <c r="Q624" s="30"/>
    </row>
    <row r="625" spans="1:17" ht="24">
      <c r="A625" s="153" t="s">
        <v>1066</v>
      </c>
      <c r="B625" s="147" t="s">
        <v>1481</v>
      </c>
      <c r="C625" s="147" t="s">
        <v>529</v>
      </c>
      <c r="D625" s="158">
        <f>D626</f>
        <v>25</v>
      </c>
      <c r="P625" s="30"/>
      <c r="Q625" s="30"/>
    </row>
    <row r="626" spans="1:17" ht="15">
      <c r="A626" s="153" t="s">
        <v>591</v>
      </c>
      <c r="B626" s="147" t="s">
        <v>1481</v>
      </c>
      <c r="C626" s="147" t="s">
        <v>429</v>
      </c>
      <c r="D626" s="158">
        <v>25</v>
      </c>
      <c r="P626" s="30"/>
      <c r="Q626" s="30"/>
    </row>
    <row r="627" spans="1:17" ht="22.5">
      <c r="A627" s="230" t="s">
        <v>1373</v>
      </c>
      <c r="B627" s="231" t="s">
        <v>737</v>
      </c>
      <c r="C627" s="235"/>
      <c r="D627" s="227">
        <f>D628+D642+D651+D659+D667</f>
        <v>122886</v>
      </c>
      <c r="E627" s="63">
        <f>D639+D653</f>
        <v>58586.11</v>
      </c>
      <c r="F627" s="63">
        <f>D630+D661+D669</f>
        <v>51317.1</v>
      </c>
      <c r="J627" s="32">
        <f>D633+D639+D644+D653</f>
        <v>58586.11</v>
      </c>
      <c r="P627" s="30"/>
      <c r="Q627" s="30"/>
    </row>
    <row r="628" spans="1:17" ht="24">
      <c r="A628" s="260" t="s">
        <v>1330</v>
      </c>
      <c r="B628" s="147" t="s">
        <v>328</v>
      </c>
      <c r="C628" s="150"/>
      <c r="D628" s="158">
        <f>D629</f>
        <v>2746.2</v>
      </c>
      <c r="P628" s="30"/>
      <c r="Q628" s="30"/>
    </row>
    <row r="629" spans="1:17" ht="45">
      <c r="A629" s="162" t="s">
        <v>1505</v>
      </c>
      <c r="B629" s="147" t="s">
        <v>329</v>
      </c>
      <c r="C629" s="147"/>
      <c r="D629" s="158">
        <f>D630+D636+D633+D639</f>
        <v>2746.2</v>
      </c>
      <c r="P629" s="30"/>
      <c r="Q629" s="30"/>
    </row>
    <row r="630" spans="1:17" ht="15">
      <c r="A630" s="152" t="s">
        <v>505</v>
      </c>
      <c r="B630" s="147" t="s">
        <v>1105</v>
      </c>
      <c r="C630" s="147"/>
      <c r="D630" s="158">
        <f>D631</f>
        <v>1159</v>
      </c>
      <c r="P630" s="30"/>
      <c r="Q630" s="30"/>
    </row>
    <row r="631" spans="1:17" ht="15">
      <c r="A631" s="153" t="s">
        <v>530</v>
      </c>
      <c r="B631" s="147" t="s">
        <v>1105</v>
      </c>
      <c r="C631" s="147" t="s">
        <v>531</v>
      </c>
      <c r="D631" s="158">
        <f>D632</f>
        <v>1159</v>
      </c>
      <c r="P631" s="30"/>
      <c r="Q631" s="30"/>
    </row>
    <row r="632" spans="1:17" ht="24">
      <c r="A632" s="157" t="s">
        <v>171</v>
      </c>
      <c r="B632" s="147" t="s">
        <v>1105</v>
      </c>
      <c r="C632" s="147" t="s">
        <v>399</v>
      </c>
      <c r="D632" s="158">
        <f>3911-2752</f>
        <v>1159</v>
      </c>
      <c r="P632" s="30"/>
      <c r="Q632" s="30"/>
    </row>
    <row r="633" spans="1:17" ht="48">
      <c r="A633" s="157" t="s">
        <v>1238</v>
      </c>
      <c r="B633" s="147" t="s">
        <v>1239</v>
      </c>
      <c r="C633" s="26"/>
      <c r="D633" s="158">
        <f>D634</f>
        <v>0</v>
      </c>
      <c r="P633" s="30"/>
      <c r="Q633" s="30"/>
    </row>
    <row r="634" spans="1:17" ht="15">
      <c r="A634" s="153" t="s">
        <v>530</v>
      </c>
      <c r="B634" s="147" t="s">
        <v>1239</v>
      </c>
      <c r="C634" s="147" t="s">
        <v>531</v>
      </c>
      <c r="D634" s="158">
        <f>D635</f>
        <v>0</v>
      </c>
      <c r="P634" s="30"/>
      <c r="Q634" s="30"/>
    </row>
    <row r="635" spans="1:17" ht="24">
      <c r="A635" s="157" t="s">
        <v>171</v>
      </c>
      <c r="B635" s="147" t="s">
        <v>1239</v>
      </c>
      <c r="C635" s="147" t="s">
        <v>399</v>
      </c>
      <c r="D635" s="158"/>
      <c r="P635" s="30"/>
      <c r="Q635" s="30"/>
    </row>
    <row r="636" spans="1:17" ht="15">
      <c r="A636" s="323" t="s">
        <v>1754</v>
      </c>
      <c r="B636" s="147" t="s">
        <v>1755</v>
      </c>
      <c r="C636" s="147"/>
      <c r="D636" s="311">
        <f>D637</f>
        <v>0.09</v>
      </c>
      <c r="P636" s="30"/>
      <c r="Q636" s="30"/>
    </row>
    <row r="637" spans="1:17" ht="15">
      <c r="A637" s="153" t="s">
        <v>530</v>
      </c>
      <c r="B637" s="147" t="s">
        <v>1755</v>
      </c>
      <c r="C637" s="147" t="s">
        <v>531</v>
      </c>
      <c r="D637" s="311">
        <f>D638</f>
        <v>0.09</v>
      </c>
      <c r="P637" s="30"/>
      <c r="Q637" s="30"/>
    </row>
    <row r="638" spans="1:17" ht="24">
      <c r="A638" s="157" t="s">
        <v>171</v>
      </c>
      <c r="B638" s="147" t="s">
        <v>1755</v>
      </c>
      <c r="C638" s="147" t="s">
        <v>399</v>
      </c>
      <c r="D638" s="154">
        <f>0.09</f>
        <v>0.09</v>
      </c>
      <c r="P638" s="30"/>
      <c r="Q638" s="30"/>
    </row>
    <row r="639" spans="1:17" ht="24">
      <c r="A639" s="157" t="s">
        <v>1621</v>
      </c>
      <c r="B639" s="147" t="s">
        <v>1240</v>
      </c>
      <c r="C639" s="147"/>
      <c r="D639" s="158">
        <f>D640</f>
        <v>1587.11</v>
      </c>
      <c r="P639" s="30"/>
      <c r="Q639" s="30"/>
    </row>
    <row r="640" spans="1:17" ht="15">
      <c r="A640" s="153" t="s">
        <v>530</v>
      </c>
      <c r="B640" s="147" t="s">
        <v>1240</v>
      </c>
      <c r="C640" s="147" t="s">
        <v>531</v>
      </c>
      <c r="D640" s="158">
        <f>D641</f>
        <v>1587.11</v>
      </c>
      <c r="P640" s="30"/>
      <c r="Q640" s="30"/>
    </row>
    <row r="641" spans="1:17" ht="24">
      <c r="A641" s="157" t="s">
        <v>171</v>
      </c>
      <c r="B641" s="147" t="s">
        <v>1240</v>
      </c>
      <c r="C641" s="147" t="s">
        <v>399</v>
      </c>
      <c r="D641" s="158">
        <f>428.4+1158.8-0.09</f>
        <v>1587.11</v>
      </c>
      <c r="P641" s="30"/>
      <c r="Q641" s="30"/>
    </row>
    <row r="642" spans="1:17" ht="36">
      <c r="A642" s="260" t="s">
        <v>1497</v>
      </c>
      <c r="B642" s="147" t="s">
        <v>330</v>
      </c>
      <c r="C642" s="150"/>
      <c r="D642" s="158">
        <f>D643+D647</f>
        <v>980.7</v>
      </c>
      <c r="P642" s="30"/>
      <c r="Q642" s="30"/>
    </row>
    <row r="643" spans="1:17" ht="68.25">
      <c r="A643" s="162" t="s">
        <v>1498</v>
      </c>
      <c r="B643" s="147" t="s">
        <v>331</v>
      </c>
      <c r="C643" s="147"/>
      <c r="D643" s="158">
        <f>D644</f>
        <v>0</v>
      </c>
      <c r="P643" s="30"/>
      <c r="Q643" s="30"/>
    </row>
    <row r="644" spans="1:17" ht="60">
      <c r="A644" s="152" t="s">
        <v>836</v>
      </c>
      <c r="B644" s="147" t="s">
        <v>1499</v>
      </c>
      <c r="C644" s="147"/>
      <c r="D644" s="158">
        <f>D645</f>
        <v>0</v>
      </c>
      <c r="P644" s="30"/>
      <c r="Q644" s="30"/>
    </row>
    <row r="645" spans="1:17" ht="15">
      <c r="A645" s="197" t="s">
        <v>530</v>
      </c>
      <c r="B645" s="147" t="s">
        <v>1499</v>
      </c>
      <c r="C645" s="147" t="s">
        <v>531</v>
      </c>
      <c r="D645" s="158">
        <f>D646</f>
        <v>0</v>
      </c>
      <c r="P645" s="30"/>
      <c r="Q645" s="30"/>
    </row>
    <row r="646" spans="1:17" ht="24">
      <c r="A646" s="152" t="s">
        <v>171</v>
      </c>
      <c r="B646" s="147" t="s">
        <v>1499</v>
      </c>
      <c r="C646" s="147" t="s">
        <v>399</v>
      </c>
      <c r="D646" s="158">
        <f>2250.5-2250.5</f>
        <v>0</v>
      </c>
      <c r="P646" s="30"/>
      <c r="Q646" s="30"/>
    </row>
    <row r="647" spans="1:17" ht="68.25">
      <c r="A647" s="162" t="s">
        <v>1756</v>
      </c>
      <c r="B647" s="147" t="s">
        <v>1757</v>
      </c>
      <c r="C647" s="147"/>
      <c r="D647" s="158">
        <f>D648</f>
        <v>980.7</v>
      </c>
      <c r="P647" s="30"/>
      <c r="Q647" s="30"/>
    </row>
    <row r="648" spans="1:17" ht="48">
      <c r="A648" s="152" t="s">
        <v>1758</v>
      </c>
      <c r="B648" s="147" t="s">
        <v>1759</v>
      </c>
      <c r="C648" s="147"/>
      <c r="D648" s="158">
        <f>D649</f>
        <v>980.7</v>
      </c>
      <c r="P648" s="30"/>
      <c r="Q648" s="30"/>
    </row>
    <row r="649" spans="1:17" ht="15">
      <c r="A649" s="284" t="s">
        <v>530</v>
      </c>
      <c r="B649" s="147" t="s">
        <v>1759</v>
      </c>
      <c r="C649" s="147" t="s">
        <v>531</v>
      </c>
      <c r="D649" s="158">
        <f>D650</f>
        <v>980.7</v>
      </c>
      <c r="P649" s="30"/>
      <c r="Q649" s="30"/>
    </row>
    <row r="650" spans="1:17" ht="24">
      <c r="A650" s="152" t="s">
        <v>171</v>
      </c>
      <c r="B650" s="147" t="s">
        <v>1759</v>
      </c>
      <c r="C650" s="147" t="s">
        <v>399</v>
      </c>
      <c r="D650" s="158">
        <v>980.7</v>
      </c>
      <c r="P650" s="30"/>
      <c r="Q650" s="30"/>
    </row>
    <row r="651" spans="1:17" ht="36">
      <c r="A651" s="265" t="s">
        <v>1366</v>
      </c>
      <c r="B651" s="147" t="s">
        <v>1198</v>
      </c>
      <c r="C651" s="147"/>
      <c r="D651" s="158">
        <f>D652</f>
        <v>56999</v>
      </c>
      <c r="P651" s="30"/>
      <c r="Q651" s="30"/>
    </row>
    <row r="652" spans="1:17" ht="45">
      <c r="A652" s="270" t="s">
        <v>736</v>
      </c>
      <c r="B652" s="147" t="s">
        <v>835</v>
      </c>
      <c r="C652" s="147"/>
      <c r="D652" s="158">
        <f>D653+D656</f>
        <v>56999</v>
      </c>
      <c r="P652" s="30"/>
      <c r="Q652" s="30"/>
    </row>
    <row r="653" spans="1:17" ht="36">
      <c r="A653" s="152" t="s">
        <v>61</v>
      </c>
      <c r="B653" s="147" t="s">
        <v>1502</v>
      </c>
      <c r="C653" s="147"/>
      <c r="D653" s="158">
        <f>D654</f>
        <v>56999</v>
      </c>
      <c r="P653" s="30"/>
      <c r="Q653" s="30"/>
    </row>
    <row r="654" spans="1:17" ht="15">
      <c r="A654" s="197" t="s">
        <v>530</v>
      </c>
      <c r="B654" s="147" t="s">
        <v>1502</v>
      </c>
      <c r="C654" s="147" t="s">
        <v>531</v>
      </c>
      <c r="D654" s="158">
        <f>D655</f>
        <v>56999</v>
      </c>
      <c r="P654" s="30"/>
      <c r="Q654" s="30"/>
    </row>
    <row r="655" spans="1:17" ht="24">
      <c r="A655" s="197" t="s">
        <v>171</v>
      </c>
      <c r="B655" s="147" t="s">
        <v>1502</v>
      </c>
      <c r="C655" s="147" t="s">
        <v>399</v>
      </c>
      <c r="D655" s="158">
        <f>56999</f>
        <v>56999</v>
      </c>
      <c r="P655" s="30"/>
      <c r="Q655" s="30"/>
    </row>
    <row r="656" spans="1:17" ht="48">
      <c r="A656" s="299" t="s">
        <v>1719</v>
      </c>
      <c r="B656" s="147" t="s">
        <v>1720</v>
      </c>
      <c r="C656" s="147"/>
      <c r="D656" s="158">
        <f>D657</f>
        <v>0</v>
      </c>
      <c r="P656" s="30"/>
      <c r="Q656" s="30"/>
    </row>
    <row r="657" spans="1:17" ht="15">
      <c r="A657" s="284" t="s">
        <v>530</v>
      </c>
      <c r="B657" s="147" t="s">
        <v>1720</v>
      </c>
      <c r="C657" s="147" t="s">
        <v>531</v>
      </c>
      <c r="D657" s="158">
        <f>D658</f>
        <v>0</v>
      </c>
      <c r="P657" s="30"/>
      <c r="Q657" s="30"/>
    </row>
    <row r="658" spans="1:17" ht="24">
      <c r="A658" s="152" t="s">
        <v>171</v>
      </c>
      <c r="B658" s="147" t="s">
        <v>1720</v>
      </c>
      <c r="C658" s="147" t="s">
        <v>399</v>
      </c>
      <c r="D658" s="158">
        <f>56999-56999</f>
        <v>0</v>
      </c>
      <c r="P658" s="30"/>
      <c r="Q658" s="30"/>
    </row>
    <row r="659" spans="1:17" ht="24">
      <c r="A659" s="310" t="s">
        <v>1331</v>
      </c>
      <c r="B659" s="147" t="s">
        <v>1197</v>
      </c>
      <c r="C659" s="147"/>
      <c r="D659" s="158">
        <f>D660</f>
        <v>12160.1</v>
      </c>
      <c r="P659" s="30"/>
      <c r="Q659" s="30"/>
    </row>
    <row r="660" spans="1:17" ht="45">
      <c r="A660" s="162" t="s">
        <v>1506</v>
      </c>
      <c r="B660" s="147" t="s">
        <v>1503</v>
      </c>
      <c r="C660" s="147"/>
      <c r="D660" s="158">
        <f>D661+D664</f>
        <v>12160.1</v>
      </c>
      <c r="P660" s="30"/>
      <c r="Q660" s="30"/>
    </row>
    <row r="661" spans="1:17" ht="24">
      <c r="A661" s="152" t="s">
        <v>1772</v>
      </c>
      <c r="B661" s="147" t="s">
        <v>1504</v>
      </c>
      <c r="C661" s="147"/>
      <c r="D661" s="158">
        <f>D662</f>
        <v>158.1</v>
      </c>
      <c r="P661" s="30"/>
      <c r="Q661" s="30"/>
    </row>
    <row r="662" spans="1:17" ht="15">
      <c r="A662" s="197" t="s">
        <v>530</v>
      </c>
      <c r="B662" s="147" t="s">
        <v>1504</v>
      </c>
      <c r="C662" s="147" t="s">
        <v>531</v>
      </c>
      <c r="D662" s="158">
        <f>D663</f>
        <v>158.1</v>
      </c>
      <c r="P662" s="30"/>
      <c r="Q662" s="30"/>
    </row>
    <row r="663" spans="1:17" ht="24">
      <c r="A663" s="197" t="s">
        <v>171</v>
      </c>
      <c r="B663" s="147" t="s">
        <v>1504</v>
      </c>
      <c r="C663" s="147" t="s">
        <v>399</v>
      </c>
      <c r="D663" s="158">
        <v>158.1</v>
      </c>
      <c r="P663" s="30"/>
      <c r="Q663" s="30"/>
    </row>
    <row r="664" spans="1:17" ht="15">
      <c r="A664" s="326" t="s">
        <v>506</v>
      </c>
      <c r="B664" s="147" t="s">
        <v>1771</v>
      </c>
      <c r="C664" s="147"/>
      <c r="D664" s="158">
        <f>D665</f>
        <v>12002</v>
      </c>
      <c r="P664" s="30"/>
      <c r="Q664" s="30"/>
    </row>
    <row r="665" spans="1:17" ht="15">
      <c r="A665" s="284" t="s">
        <v>530</v>
      </c>
      <c r="B665" s="147" t="s">
        <v>1771</v>
      </c>
      <c r="C665" s="147" t="s">
        <v>531</v>
      </c>
      <c r="D665" s="158">
        <f>D666</f>
        <v>12002</v>
      </c>
      <c r="P665" s="30"/>
      <c r="Q665" s="30"/>
    </row>
    <row r="666" spans="1:17" ht="24">
      <c r="A666" s="152" t="s">
        <v>171</v>
      </c>
      <c r="B666" s="147" t="s">
        <v>1771</v>
      </c>
      <c r="C666" s="147" t="s">
        <v>399</v>
      </c>
      <c r="D666" s="158">
        <v>12002</v>
      </c>
      <c r="P666" s="30"/>
      <c r="Q666" s="30"/>
    </row>
    <row r="667" spans="1:17" ht="48">
      <c r="A667" s="260" t="s">
        <v>1574</v>
      </c>
      <c r="B667" s="147" t="s">
        <v>1199</v>
      </c>
      <c r="C667" s="147"/>
      <c r="D667" s="279">
        <f>D668</f>
        <v>50000</v>
      </c>
      <c r="P667" s="30"/>
      <c r="Q667" s="30"/>
    </row>
    <row r="668" spans="1:17" ht="33.75">
      <c r="A668" s="162" t="s">
        <v>1575</v>
      </c>
      <c r="B668" s="147" t="s">
        <v>1576</v>
      </c>
      <c r="C668" s="147"/>
      <c r="D668" s="279">
        <f>D669</f>
        <v>50000</v>
      </c>
      <c r="P668" s="30"/>
      <c r="Q668" s="30"/>
    </row>
    <row r="669" spans="1:17" ht="24">
      <c r="A669" s="152" t="s">
        <v>1586</v>
      </c>
      <c r="B669" s="147" t="s">
        <v>1578</v>
      </c>
      <c r="C669" s="147"/>
      <c r="D669" s="279">
        <f>D670</f>
        <v>50000</v>
      </c>
      <c r="P669" s="30"/>
      <c r="Q669" s="30"/>
    </row>
    <row r="670" spans="1:17" ht="15">
      <c r="A670" s="284" t="s">
        <v>530</v>
      </c>
      <c r="B670" s="147" t="s">
        <v>1578</v>
      </c>
      <c r="C670" s="147" t="s">
        <v>531</v>
      </c>
      <c r="D670" s="279">
        <f>D671</f>
        <v>50000</v>
      </c>
      <c r="P670" s="30"/>
      <c r="Q670" s="30"/>
    </row>
    <row r="671" spans="1:17" ht="24">
      <c r="A671" s="152" t="s">
        <v>171</v>
      </c>
      <c r="B671" s="147" t="s">
        <v>1578</v>
      </c>
      <c r="C671" s="147" t="s">
        <v>399</v>
      </c>
      <c r="D671" s="158">
        <v>50000</v>
      </c>
      <c r="P671" s="30"/>
      <c r="Q671" s="30"/>
    </row>
    <row r="672" spans="1:17" ht="22.5">
      <c r="A672" s="230" t="s">
        <v>1367</v>
      </c>
      <c r="B672" s="236" t="s">
        <v>270</v>
      </c>
      <c r="C672" s="235"/>
      <c r="D672" s="237">
        <f>D673+D699+D732</f>
        <v>898667.8</v>
      </c>
      <c r="E672" s="63" t="e">
        <f>D689+D696+#REF!+D722+D726+D753</f>
        <v>#REF!</v>
      </c>
      <c r="F672" s="63">
        <f>D675+D679+D683+D686+D693+D701+D708+D711+D716+D729+D734+D737+D740+D744+D747+D757</f>
        <v>554400.6</v>
      </c>
      <c r="J672" s="32" t="e">
        <f>D689+D696+#REF!+D722+D726+D753</f>
        <v>#REF!</v>
      </c>
      <c r="P672" s="30"/>
      <c r="Q672" s="30"/>
    </row>
    <row r="673" spans="1:17" ht="24">
      <c r="A673" s="260" t="s">
        <v>1313</v>
      </c>
      <c r="B673" s="147" t="s">
        <v>850</v>
      </c>
      <c r="C673" s="150"/>
      <c r="D673" s="158">
        <f>D674+D678+D692</f>
        <v>223335.19999999998</v>
      </c>
      <c r="E673" s="63">
        <f>D689+D696</f>
        <v>3137.4</v>
      </c>
      <c r="F673" s="63">
        <f>D673-E673</f>
        <v>220197.8</v>
      </c>
      <c r="P673" s="30"/>
      <c r="Q673" s="30"/>
    </row>
    <row r="674" spans="1:17" ht="15">
      <c r="A674" s="162" t="s">
        <v>849</v>
      </c>
      <c r="B674" s="147" t="s">
        <v>854</v>
      </c>
      <c r="C674" s="147"/>
      <c r="D674" s="158">
        <f>D675</f>
        <v>39775</v>
      </c>
      <c r="P674" s="30"/>
      <c r="Q674" s="30"/>
    </row>
    <row r="675" spans="1:17" ht="15">
      <c r="A675" s="157" t="s">
        <v>853</v>
      </c>
      <c r="B675" s="147" t="s">
        <v>851</v>
      </c>
      <c r="C675" s="147"/>
      <c r="D675" s="158">
        <f>D676</f>
        <v>39775</v>
      </c>
      <c r="P675" s="30"/>
      <c r="Q675" s="30"/>
    </row>
    <row r="676" spans="1:17" ht="15">
      <c r="A676" s="153" t="s">
        <v>985</v>
      </c>
      <c r="B676" s="147" t="s">
        <v>851</v>
      </c>
      <c r="C676" s="147" t="s">
        <v>986</v>
      </c>
      <c r="D676" s="158">
        <f>D677</f>
        <v>39775</v>
      </c>
      <c r="P676" s="30"/>
      <c r="Q676" s="30"/>
    </row>
    <row r="677" spans="1:17" ht="24">
      <c r="A677" s="152" t="s">
        <v>555</v>
      </c>
      <c r="B677" s="147" t="s">
        <v>851</v>
      </c>
      <c r="C677" s="147" t="s">
        <v>556</v>
      </c>
      <c r="D677" s="158">
        <f>20000+4275+3500+12000</f>
        <v>39775</v>
      </c>
      <c r="P677" s="30"/>
      <c r="Q677" s="30"/>
    </row>
    <row r="678" spans="1:17" ht="33.75">
      <c r="A678" s="162" t="s">
        <v>852</v>
      </c>
      <c r="B678" s="147" t="s">
        <v>855</v>
      </c>
      <c r="C678" s="147"/>
      <c r="D678" s="158">
        <f>D679+D683+D689+D686</f>
        <v>183560.19999999998</v>
      </c>
      <c r="P678" s="30"/>
      <c r="Q678" s="30"/>
    </row>
    <row r="679" spans="1:17" ht="24">
      <c r="A679" s="152" t="s">
        <v>856</v>
      </c>
      <c r="B679" s="147" t="s">
        <v>857</v>
      </c>
      <c r="C679" s="147"/>
      <c r="D679" s="158">
        <f>D680</f>
        <v>170922.8</v>
      </c>
      <c r="P679" s="30"/>
      <c r="Q679" s="30"/>
    </row>
    <row r="680" spans="1:17" ht="24">
      <c r="A680" s="152" t="s">
        <v>461</v>
      </c>
      <c r="B680" s="147" t="s">
        <v>857</v>
      </c>
      <c r="C680" s="147" t="s">
        <v>1167</v>
      </c>
      <c r="D680" s="158">
        <f>D681+D682</f>
        <v>170922.8</v>
      </c>
      <c r="P680" s="30"/>
      <c r="Q680" s="30"/>
    </row>
    <row r="681" spans="1:17" ht="15">
      <c r="A681" s="152" t="s">
        <v>1083</v>
      </c>
      <c r="B681" s="147" t="s">
        <v>857</v>
      </c>
      <c r="C681" s="147" t="s">
        <v>825</v>
      </c>
      <c r="D681" s="158"/>
      <c r="P681" s="30"/>
      <c r="Q681" s="30"/>
    </row>
    <row r="682" spans="1:17" ht="36">
      <c r="A682" s="152" t="s">
        <v>1093</v>
      </c>
      <c r="B682" s="147" t="s">
        <v>857</v>
      </c>
      <c r="C682" s="147" t="s">
        <v>881</v>
      </c>
      <c r="D682" s="158">
        <f>200922.8+8014+12215.3-38014-12215.3</f>
        <v>170922.8</v>
      </c>
      <c r="P682" s="30"/>
      <c r="Q682" s="30"/>
    </row>
    <row r="683" spans="1:17" ht="36">
      <c r="A683" s="152" t="s">
        <v>1248</v>
      </c>
      <c r="B683" s="147" t="s">
        <v>1249</v>
      </c>
      <c r="C683" s="147"/>
      <c r="D683" s="158">
        <f>D684</f>
        <v>0</v>
      </c>
      <c r="P683" s="30"/>
      <c r="Q683" s="30"/>
    </row>
    <row r="684" spans="1:17" ht="24">
      <c r="A684" s="153" t="s">
        <v>1066</v>
      </c>
      <c r="B684" s="147" t="s">
        <v>1249</v>
      </c>
      <c r="C684" s="147" t="s">
        <v>529</v>
      </c>
      <c r="D684" s="158">
        <f>D685</f>
        <v>0</v>
      </c>
      <c r="P684" s="30"/>
      <c r="Q684" s="30"/>
    </row>
    <row r="685" spans="1:17" ht="15">
      <c r="A685" s="153" t="s">
        <v>591</v>
      </c>
      <c r="B685" s="147" t="s">
        <v>1249</v>
      </c>
      <c r="C685" s="147" t="s">
        <v>429</v>
      </c>
      <c r="D685" s="158"/>
      <c r="P685" s="30"/>
      <c r="Q685" s="30"/>
    </row>
    <row r="686" spans="1:17" ht="24">
      <c r="A686" s="152" t="s">
        <v>1655</v>
      </c>
      <c r="B686" s="147" t="s">
        <v>1656</v>
      </c>
      <c r="C686" s="147"/>
      <c r="D686" s="279">
        <f>D687</f>
        <v>9500</v>
      </c>
      <c r="P686" s="30"/>
      <c r="Q686" s="30"/>
    </row>
    <row r="687" spans="1:17" ht="24">
      <c r="A687" s="153" t="s">
        <v>1066</v>
      </c>
      <c r="B687" s="147" t="s">
        <v>1656</v>
      </c>
      <c r="C687" s="147" t="s">
        <v>529</v>
      </c>
      <c r="D687" s="279">
        <f>D688</f>
        <v>9500</v>
      </c>
      <c r="P687" s="30"/>
      <c r="Q687" s="30"/>
    </row>
    <row r="688" spans="1:17" ht="15">
      <c r="A688" s="153" t="s">
        <v>974</v>
      </c>
      <c r="B688" s="147" t="s">
        <v>1656</v>
      </c>
      <c r="C688" s="147" t="s">
        <v>429</v>
      </c>
      <c r="D688" s="158">
        <f>5500+4000</f>
        <v>9500</v>
      </c>
      <c r="P688" s="30"/>
      <c r="Q688" s="30"/>
    </row>
    <row r="689" spans="1:17" ht="36">
      <c r="A689" s="152" t="s">
        <v>1595</v>
      </c>
      <c r="B689" s="147" t="s">
        <v>1596</v>
      </c>
      <c r="C689" s="147"/>
      <c r="D689" s="158">
        <f>D690</f>
        <v>3137.4</v>
      </c>
      <c r="P689" s="30"/>
      <c r="Q689" s="30"/>
    </row>
    <row r="690" spans="1:17" ht="24">
      <c r="A690" s="153" t="s">
        <v>1066</v>
      </c>
      <c r="B690" s="147" t="s">
        <v>1596</v>
      </c>
      <c r="C690" s="147" t="s">
        <v>529</v>
      </c>
      <c r="D690" s="158">
        <f>D691</f>
        <v>3137.4</v>
      </c>
      <c r="P690" s="30"/>
      <c r="Q690" s="30"/>
    </row>
    <row r="691" spans="1:17" ht="15">
      <c r="A691" s="153" t="s">
        <v>974</v>
      </c>
      <c r="B691" s="147" t="s">
        <v>1596</v>
      </c>
      <c r="C691" s="147" t="s">
        <v>429</v>
      </c>
      <c r="D691" s="158">
        <v>3137.4</v>
      </c>
      <c r="P691" s="30"/>
      <c r="Q691" s="30"/>
    </row>
    <row r="692" spans="1:17" ht="33.75">
      <c r="A692" s="162" t="s">
        <v>39</v>
      </c>
      <c r="B692" s="170" t="s">
        <v>858</v>
      </c>
      <c r="C692" s="147"/>
      <c r="D692" s="158">
        <f>D693+D696</f>
        <v>0</v>
      </c>
      <c r="P692" s="30"/>
      <c r="Q692" s="30"/>
    </row>
    <row r="693" spans="1:17" ht="36">
      <c r="A693" s="152" t="s">
        <v>304</v>
      </c>
      <c r="B693" s="170" t="s">
        <v>588</v>
      </c>
      <c r="C693" s="147"/>
      <c r="D693" s="158">
        <f>D694</f>
        <v>0</v>
      </c>
      <c r="P693" s="30"/>
      <c r="Q693" s="30"/>
    </row>
    <row r="694" spans="1:17" ht="24">
      <c r="A694" s="153" t="s">
        <v>1066</v>
      </c>
      <c r="B694" s="170" t="s">
        <v>588</v>
      </c>
      <c r="C694" s="147"/>
      <c r="D694" s="158">
        <f>D695</f>
        <v>0</v>
      </c>
      <c r="P694" s="30"/>
      <c r="Q694" s="30"/>
    </row>
    <row r="695" spans="1:17" ht="15">
      <c r="A695" s="153" t="s">
        <v>974</v>
      </c>
      <c r="B695" s="170" t="s">
        <v>588</v>
      </c>
      <c r="C695" s="147" t="s">
        <v>429</v>
      </c>
      <c r="D695" s="158"/>
      <c r="P695" s="30"/>
      <c r="Q695" s="30"/>
    </row>
    <row r="696" spans="1:17" ht="15">
      <c r="A696" s="173" t="s">
        <v>560</v>
      </c>
      <c r="B696" s="170" t="s">
        <v>859</v>
      </c>
      <c r="C696" s="147"/>
      <c r="D696" s="158">
        <f>D697</f>
        <v>0</v>
      </c>
      <c r="P696" s="30"/>
      <c r="Q696" s="30"/>
    </row>
    <row r="697" spans="1:17" ht="24">
      <c r="A697" s="153" t="s">
        <v>1066</v>
      </c>
      <c r="B697" s="170" t="s">
        <v>859</v>
      </c>
      <c r="C697" s="147" t="s">
        <v>529</v>
      </c>
      <c r="D697" s="158">
        <f>D698</f>
        <v>0</v>
      </c>
      <c r="P697" s="30"/>
      <c r="Q697" s="30"/>
    </row>
    <row r="698" spans="1:17" ht="15">
      <c r="A698" s="153" t="s">
        <v>591</v>
      </c>
      <c r="B698" s="170" t="s">
        <v>859</v>
      </c>
      <c r="C698" s="147" t="s">
        <v>429</v>
      </c>
      <c r="D698" s="158"/>
      <c r="P698" s="30"/>
      <c r="Q698" s="30"/>
    </row>
    <row r="699" spans="1:17" ht="24">
      <c r="A699" s="260" t="s">
        <v>1309</v>
      </c>
      <c r="B699" s="147" t="s">
        <v>271</v>
      </c>
      <c r="C699" s="150"/>
      <c r="D699" s="158">
        <f>D700+D725</f>
        <v>369348.70000000007</v>
      </c>
      <c r="E699" s="63">
        <f>D722+D726</f>
        <v>152324.3</v>
      </c>
      <c r="F699" s="63">
        <f>D701+D708+D711+D716+D729</f>
        <v>216930.40000000005</v>
      </c>
      <c r="P699" s="30"/>
      <c r="Q699" s="30"/>
    </row>
    <row r="700" spans="1:17" ht="24">
      <c r="A700" s="239" t="s">
        <v>1004</v>
      </c>
      <c r="B700" s="147" t="s">
        <v>272</v>
      </c>
      <c r="C700" s="170"/>
      <c r="D700" s="158">
        <f>D701+D708+D711+D722+D716+D719</f>
        <v>218483.60000000003</v>
      </c>
      <c r="P700" s="30"/>
      <c r="Q700" s="30"/>
    </row>
    <row r="701" spans="1:17" ht="36">
      <c r="A701" s="152" t="s">
        <v>269</v>
      </c>
      <c r="B701" s="147" t="s">
        <v>273</v>
      </c>
      <c r="C701" s="170"/>
      <c r="D701" s="158">
        <f>D702</f>
        <v>4498.2</v>
      </c>
      <c r="P701" s="30"/>
      <c r="Q701" s="30"/>
    </row>
    <row r="702" spans="1:17" ht="24">
      <c r="A702" s="153" t="s">
        <v>1066</v>
      </c>
      <c r="B702" s="147" t="s">
        <v>273</v>
      </c>
      <c r="C702" s="147" t="s">
        <v>529</v>
      </c>
      <c r="D702" s="158">
        <f>D703</f>
        <v>4498.2</v>
      </c>
      <c r="P702" s="30"/>
      <c r="Q702" s="30"/>
    </row>
    <row r="703" spans="1:17" ht="15">
      <c r="A703" s="153" t="s">
        <v>591</v>
      </c>
      <c r="B703" s="147" t="s">
        <v>273</v>
      </c>
      <c r="C703" s="147" t="s">
        <v>429</v>
      </c>
      <c r="D703" s="158">
        <f>4498.2</f>
        <v>4498.2</v>
      </c>
      <c r="P703" s="30"/>
      <c r="Q703" s="30"/>
    </row>
    <row r="704" spans="1:17" ht="24">
      <c r="A704" s="152" t="s">
        <v>490</v>
      </c>
      <c r="B704" s="147" t="s">
        <v>273</v>
      </c>
      <c r="C704" s="170" t="s">
        <v>489</v>
      </c>
      <c r="D704" s="158">
        <f>D705</f>
        <v>0</v>
      </c>
      <c r="P704" s="30"/>
      <c r="Q704" s="30"/>
    </row>
    <row r="705" spans="1:17" ht="15">
      <c r="A705" s="157" t="s">
        <v>573</v>
      </c>
      <c r="B705" s="147" t="s">
        <v>273</v>
      </c>
      <c r="C705" s="147" t="s">
        <v>574</v>
      </c>
      <c r="D705" s="158">
        <f>4498.2-4498.2</f>
        <v>0</v>
      </c>
      <c r="P705" s="30"/>
      <c r="Q705" s="30"/>
    </row>
    <row r="706" spans="1:17" ht="15" hidden="1">
      <c r="A706" s="152"/>
      <c r="B706" s="147"/>
      <c r="C706" s="150"/>
      <c r="D706" s="158"/>
      <c r="P706" s="30"/>
      <c r="Q706" s="30"/>
    </row>
    <row r="707" spans="1:17" ht="15" hidden="1">
      <c r="A707" s="157"/>
      <c r="B707" s="147"/>
      <c r="C707" s="150"/>
      <c r="D707" s="158"/>
      <c r="P707" s="30"/>
      <c r="Q707" s="30"/>
    </row>
    <row r="708" spans="1:17" ht="36">
      <c r="A708" s="152" t="s">
        <v>123</v>
      </c>
      <c r="B708" s="147" t="s">
        <v>1005</v>
      </c>
      <c r="C708" s="147"/>
      <c r="D708" s="158">
        <f>D709</f>
        <v>12642</v>
      </c>
      <c r="P708" s="30"/>
      <c r="Q708" s="30"/>
    </row>
    <row r="709" spans="1:17" ht="24">
      <c r="A709" s="152" t="s">
        <v>490</v>
      </c>
      <c r="B709" s="147" t="s">
        <v>1005</v>
      </c>
      <c r="C709" s="147" t="s">
        <v>489</v>
      </c>
      <c r="D709" s="158">
        <f>D710</f>
        <v>12642</v>
      </c>
      <c r="P709" s="30"/>
      <c r="Q709" s="30"/>
    </row>
    <row r="710" spans="1:17" ht="15">
      <c r="A710" s="157" t="s">
        <v>573</v>
      </c>
      <c r="B710" s="147" t="s">
        <v>1005</v>
      </c>
      <c r="C710" s="147" t="s">
        <v>574</v>
      </c>
      <c r="D710" s="158">
        <f>13600-958</f>
        <v>12642</v>
      </c>
      <c r="P710" s="30"/>
      <c r="Q710" s="30"/>
    </row>
    <row r="711" spans="1:17" ht="24">
      <c r="A711" s="157" t="s">
        <v>1006</v>
      </c>
      <c r="B711" s="147" t="s">
        <v>1007</v>
      </c>
      <c r="C711" s="147"/>
      <c r="D711" s="158">
        <f>D712+D714</f>
        <v>191425.10000000003</v>
      </c>
      <c r="P711" s="30"/>
      <c r="Q711" s="30"/>
    </row>
    <row r="712" spans="1:17" ht="24">
      <c r="A712" s="153" t="s">
        <v>461</v>
      </c>
      <c r="B712" s="147" t="s">
        <v>1007</v>
      </c>
      <c r="C712" s="147" t="s">
        <v>1167</v>
      </c>
      <c r="D712" s="154">
        <f>D713</f>
        <v>10108.5</v>
      </c>
      <c r="P712" s="30"/>
      <c r="Q712" s="30"/>
    </row>
    <row r="713" spans="1:17" ht="15">
      <c r="A713" s="153" t="s">
        <v>824</v>
      </c>
      <c r="B713" s="147" t="s">
        <v>1007</v>
      </c>
      <c r="C713" s="147" t="s">
        <v>825</v>
      </c>
      <c r="D713" s="154">
        <f>2222+9278-1391.5</f>
        <v>10108.5</v>
      </c>
      <c r="P713" s="30"/>
      <c r="Q713" s="30"/>
    </row>
    <row r="714" spans="1:17" ht="24">
      <c r="A714" s="152" t="s">
        <v>490</v>
      </c>
      <c r="B714" s="147" t="s">
        <v>1007</v>
      </c>
      <c r="C714" s="147" t="s">
        <v>489</v>
      </c>
      <c r="D714" s="158">
        <f>D715</f>
        <v>181316.60000000003</v>
      </c>
      <c r="P714" s="30"/>
      <c r="Q714" s="30"/>
    </row>
    <row r="715" spans="1:17" ht="15">
      <c r="A715" s="157" t="s">
        <v>371</v>
      </c>
      <c r="B715" s="147" t="s">
        <v>1007</v>
      </c>
      <c r="C715" s="147" t="s">
        <v>574</v>
      </c>
      <c r="D715" s="158">
        <f>124567.1-1200+4424.1+1768.7+1500+1300+200+958+1000+600+500+800+260+4940+1200+365+3206.4+0.1+32000+3309-2500-833+1500+960+491.2</f>
        <v>181316.60000000003</v>
      </c>
      <c r="P715" s="30"/>
      <c r="Q715" s="30"/>
    </row>
    <row r="716" spans="1:17" ht="36">
      <c r="A716" s="174" t="s">
        <v>1221</v>
      </c>
      <c r="B716" s="147" t="s">
        <v>1223</v>
      </c>
      <c r="C716" s="147"/>
      <c r="D716" s="158">
        <f>D717</f>
        <v>0</v>
      </c>
      <c r="P716" s="30"/>
      <c r="Q716" s="30"/>
    </row>
    <row r="717" spans="1:17" ht="24">
      <c r="A717" s="153" t="s">
        <v>1066</v>
      </c>
      <c r="B717" s="147" t="s">
        <v>1223</v>
      </c>
      <c r="C717" s="147" t="s">
        <v>529</v>
      </c>
      <c r="D717" s="158">
        <f>D718</f>
        <v>0</v>
      </c>
      <c r="P717" s="30"/>
      <c r="Q717" s="30"/>
    </row>
    <row r="718" spans="1:17" ht="15">
      <c r="A718" s="153" t="s">
        <v>974</v>
      </c>
      <c r="B718" s="147" t="s">
        <v>1223</v>
      </c>
      <c r="C718" s="147" t="s">
        <v>429</v>
      </c>
      <c r="D718" s="161"/>
      <c r="P718" s="30"/>
      <c r="Q718" s="30"/>
    </row>
    <row r="719" spans="1:17" ht="24">
      <c r="A719" s="326" t="s">
        <v>1769</v>
      </c>
      <c r="B719" s="147" t="s">
        <v>1770</v>
      </c>
      <c r="C719" s="147"/>
      <c r="D719" s="325">
        <f>D720</f>
        <v>94</v>
      </c>
      <c r="P719" s="30"/>
      <c r="Q719" s="30"/>
    </row>
    <row r="720" spans="1:17" ht="24">
      <c r="A720" s="153" t="s">
        <v>1066</v>
      </c>
      <c r="B720" s="147" t="s">
        <v>1770</v>
      </c>
      <c r="C720" s="147" t="s">
        <v>529</v>
      </c>
      <c r="D720" s="325">
        <f>D721</f>
        <v>94</v>
      </c>
      <c r="P720" s="30"/>
      <c r="Q720" s="30"/>
    </row>
    <row r="721" spans="1:17" ht="15">
      <c r="A721" s="153" t="s">
        <v>974</v>
      </c>
      <c r="B721" s="147" t="s">
        <v>1770</v>
      </c>
      <c r="C721" s="147" t="s">
        <v>429</v>
      </c>
      <c r="D721" s="161">
        <v>94</v>
      </c>
      <c r="P721" s="30"/>
      <c r="Q721" s="30"/>
    </row>
    <row r="722" spans="1:17" ht="36">
      <c r="A722" s="174" t="s">
        <v>1224</v>
      </c>
      <c r="B722" s="147" t="s">
        <v>1225</v>
      </c>
      <c r="C722" s="147"/>
      <c r="D722" s="158">
        <f>D723</f>
        <v>9824.3</v>
      </c>
      <c r="P722" s="30"/>
      <c r="Q722" s="30"/>
    </row>
    <row r="723" spans="1:17" ht="24">
      <c r="A723" s="153" t="s">
        <v>1066</v>
      </c>
      <c r="B723" s="147" t="s">
        <v>1225</v>
      </c>
      <c r="C723" s="147" t="s">
        <v>529</v>
      </c>
      <c r="D723" s="158">
        <f>D724</f>
        <v>9824.3</v>
      </c>
      <c r="P723" s="30"/>
      <c r="Q723" s="30"/>
    </row>
    <row r="724" spans="1:17" ht="15">
      <c r="A724" s="153" t="s">
        <v>974</v>
      </c>
      <c r="B724" s="147" t="s">
        <v>1225</v>
      </c>
      <c r="C724" s="147" t="s">
        <v>429</v>
      </c>
      <c r="D724" s="161">
        <v>9824.3</v>
      </c>
      <c r="P724" s="30"/>
      <c r="Q724" s="30"/>
    </row>
    <row r="725" spans="1:17" ht="15">
      <c r="A725" s="239" t="s">
        <v>1600</v>
      </c>
      <c r="B725" s="147" t="s">
        <v>1601</v>
      </c>
      <c r="C725" s="147"/>
      <c r="D725" s="158">
        <f>D726+D729</f>
        <v>150865.1</v>
      </c>
      <c r="P725" s="30"/>
      <c r="Q725" s="30"/>
    </row>
    <row r="726" spans="1:17" ht="96">
      <c r="A726" s="153" t="s">
        <v>1713</v>
      </c>
      <c r="B726" s="147" t="s">
        <v>1714</v>
      </c>
      <c r="C726" s="147"/>
      <c r="D726" s="158">
        <f>D727</f>
        <v>142500</v>
      </c>
      <c r="P726" s="30"/>
      <c r="Q726" s="30"/>
    </row>
    <row r="727" spans="1:17" ht="24">
      <c r="A727" s="153" t="s">
        <v>1066</v>
      </c>
      <c r="B727" s="147" t="s">
        <v>1714</v>
      </c>
      <c r="C727" s="147" t="s">
        <v>529</v>
      </c>
      <c r="D727" s="158">
        <f>D728</f>
        <v>142500</v>
      </c>
      <c r="P727" s="30"/>
      <c r="Q727" s="30"/>
    </row>
    <row r="728" spans="1:17" ht="15">
      <c r="A728" s="153" t="s">
        <v>974</v>
      </c>
      <c r="B728" s="147" t="s">
        <v>1714</v>
      </c>
      <c r="C728" s="147" t="s">
        <v>429</v>
      </c>
      <c r="D728" s="158">
        <v>142500</v>
      </c>
      <c r="P728" s="30"/>
      <c r="Q728" s="30"/>
    </row>
    <row r="729" spans="1:17" ht="36">
      <c r="A729" s="152" t="s">
        <v>1602</v>
      </c>
      <c r="B729" s="147" t="s">
        <v>1603</v>
      </c>
      <c r="C729" s="147"/>
      <c r="D729" s="158">
        <f>D730</f>
        <v>8365.1</v>
      </c>
      <c r="P729" s="30"/>
      <c r="Q729" s="30"/>
    </row>
    <row r="730" spans="1:17" ht="24">
      <c r="A730" s="153" t="s">
        <v>1066</v>
      </c>
      <c r="B730" s="147" t="s">
        <v>1603</v>
      </c>
      <c r="C730" s="147" t="s">
        <v>529</v>
      </c>
      <c r="D730" s="158">
        <f>D731</f>
        <v>8365.1</v>
      </c>
      <c r="P730" s="30"/>
      <c r="Q730" s="30"/>
    </row>
    <row r="731" spans="1:17" ht="15">
      <c r="A731" s="153" t="s">
        <v>974</v>
      </c>
      <c r="B731" s="147" t="s">
        <v>1603</v>
      </c>
      <c r="C731" s="147" t="s">
        <v>429</v>
      </c>
      <c r="D731" s="161">
        <f>7500+665.1+200</f>
        <v>8365.1</v>
      </c>
      <c r="P731" s="30"/>
      <c r="Q731" s="30"/>
    </row>
    <row r="732" spans="1:17" ht="60">
      <c r="A732" s="260" t="s">
        <v>1311</v>
      </c>
      <c r="B732" s="170" t="s">
        <v>846</v>
      </c>
      <c r="C732" s="150"/>
      <c r="D732" s="158">
        <f>D743+D733+D756</f>
        <v>305983.9</v>
      </c>
      <c r="P732" s="30"/>
      <c r="Q732" s="30"/>
    </row>
    <row r="733" spans="1:17" ht="35.25">
      <c r="A733" s="214" t="s">
        <v>1226</v>
      </c>
      <c r="B733" s="147" t="s">
        <v>847</v>
      </c>
      <c r="C733" s="147"/>
      <c r="D733" s="158">
        <f>D734+D737+D740</f>
        <v>61412.5</v>
      </c>
      <c r="P733" s="30"/>
      <c r="Q733" s="30"/>
    </row>
    <row r="734" spans="1:17" ht="24">
      <c r="A734" s="157" t="s">
        <v>1006</v>
      </c>
      <c r="B734" s="147" t="s">
        <v>1729</v>
      </c>
      <c r="C734" s="147"/>
      <c r="D734" s="155">
        <f>D735</f>
        <v>4786</v>
      </c>
      <c r="P734" s="30"/>
      <c r="Q734" s="30"/>
    </row>
    <row r="735" spans="1:17" ht="24">
      <c r="A735" s="153" t="s">
        <v>1066</v>
      </c>
      <c r="B735" s="147" t="s">
        <v>1729</v>
      </c>
      <c r="C735" s="147" t="s">
        <v>529</v>
      </c>
      <c r="D735" s="155">
        <f>D736</f>
        <v>4786</v>
      </c>
      <c r="P735" s="30"/>
      <c r="Q735" s="30"/>
    </row>
    <row r="736" spans="1:17" ht="15">
      <c r="A736" s="153" t="s">
        <v>974</v>
      </c>
      <c r="B736" s="147" t="s">
        <v>1729</v>
      </c>
      <c r="C736" s="147" t="s">
        <v>429</v>
      </c>
      <c r="D736" s="158">
        <v>4786</v>
      </c>
      <c r="P736" s="30"/>
      <c r="Q736" s="30"/>
    </row>
    <row r="737" spans="1:17" ht="24">
      <c r="A737" s="15" t="s">
        <v>78</v>
      </c>
      <c r="B737" s="147" t="s">
        <v>79</v>
      </c>
      <c r="C737" s="147"/>
      <c r="D737" s="158">
        <f>D738</f>
        <v>55551.5</v>
      </c>
      <c r="P737" s="30"/>
      <c r="Q737" s="30"/>
    </row>
    <row r="738" spans="1:17" ht="24">
      <c r="A738" s="153" t="s">
        <v>1066</v>
      </c>
      <c r="B738" s="147" t="s">
        <v>79</v>
      </c>
      <c r="C738" s="147" t="s">
        <v>529</v>
      </c>
      <c r="D738" s="158">
        <f>D739</f>
        <v>55551.5</v>
      </c>
      <c r="P738" s="30"/>
      <c r="Q738" s="30"/>
    </row>
    <row r="739" spans="1:17" ht="15">
      <c r="A739" s="153" t="s">
        <v>974</v>
      </c>
      <c r="B739" s="147" t="s">
        <v>79</v>
      </c>
      <c r="C739" s="147" t="s">
        <v>429</v>
      </c>
      <c r="D739" s="158">
        <f>10600+21605.3+1738.9+3455.3+5282+12870</f>
        <v>55551.5</v>
      </c>
      <c r="P739" s="30"/>
      <c r="Q739" s="30"/>
    </row>
    <row r="740" spans="1:17" ht="36">
      <c r="A740" s="153" t="s">
        <v>1604</v>
      </c>
      <c r="B740" s="147" t="s">
        <v>1605</v>
      </c>
      <c r="C740" s="147"/>
      <c r="D740" s="158">
        <f>D741</f>
        <v>1075</v>
      </c>
      <c r="E740" s="63">
        <f>D753</f>
        <v>36229</v>
      </c>
      <c r="F740" s="63">
        <f>D732-E740</f>
        <v>269754.9</v>
      </c>
      <c r="P740" s="30"/>
      <c r="Q740" s="30"/>
    </row>
    <row r="741" spans="1:17" ht="24">
      <c r="A741" s="153" t="s">
        <v>1066</v>
      </c>
      <c r="B741" s="147" t="s">
        <v>1605</v>
      </c>
      <c r="C741" s="147" t="s">
        <v>529</v>
      </c>
      <c r="D741" s="158">
        <f>D742</f>
        <v>1075</v>
      </c>
      <c r="P741" s="30"/>
      <c r="Q741" s="30"/>
    </row>
    <row r="742" spans="1:17" ht="15">
      <c r="A742" s="153" t="s">
        <v>974</v>
      </c>
      <c r="B742" s="147" t="s">
        <v>1605</v>
      </c>
      <c r="C742" s="147" t="s">
        <v>429</v>
      </c>
      <c r="D742" s="158">
        <v>1075</v>
      </c>
      <c r="P742" s="30"/>
      <c r="Q742" s="30"/>
    </row>
    <row r="743" spans="1:17" ht="22.5">
      <c r="A743" s="162" t="s">
        <v>845</v>
      </c>
      <c r="B743" s="170" t="s">
        <v>1180</v>
      </c>
      <c r="C743" s="170"/>
      <c r="D743" s="158">
        <f>D744+D747+D753+D750</f>
        <v>214488.5</v>
      </c>
      <c r="P743" s="30"/>
      <c r="Q743" s="30"/>
    </row>
    <row r="744" spans="1:17" ht="15">
      <c r="A744" s="152" t="s">
        <v>848</v>
      </c>
      <c r="B744" s="170" t="s">
        <v>1192</v>
      </c>
      <c r="C744" s="170"/>
      <c r="D744" s="158">
        <f>D745</f>
        <v>5000</v>
      </c>
      <c r="P744" s="30"/>
      <c r="Q744" s="30"/>
    </row>
    <row r="745" spans="1:17" ht="15">
      <c r="A745" s="153" t="s">
        <v>985</v>
      </c>
      <c r="B745" s="170" t="s">
        <v>1192</v>
      </c>
      <c r="C745" s="170" t="s">
        <v>986</v>
      </c>
      <c r="D745" s="158">
        <f>D746</f>
        <v>5000</v>
      </c>
      <c r="P745" s="30"/>
      <c r="Q745" s="30"/>
    </row>
    <row r="746" spans="1:17" ht="24">
      <c r="A746" s="152" t="s">
        <v>555</v>
      </c>
      <c r="B746" s="170" t="s">
        <v>1192</v>
      </c>
      <c r="C746" s="170" t="s">
        <v>556</v>
      </c>
      <c r="D746" s="158">
        <v>5000</v>
      </c>
      <c r="P746" s="30"/>
      <c r="Q746" s="30"/>
    </row>
    <row r="747" spans="1:17" ht="48">
      <c r="A747" s="152" t="s">
        <v>1593</v>
      </c>
      <c r="B747" s="170" t="s">
        <v>1594</v>
      </c>
      <c r="C747" s="170"/>
      <c r="D747" s="158">
        <f>D748</f>
        <v>20777</v>
      </c>
      <c r="P747" s="30"/>
      <c r="Q747" s="30"/>
    </row>
    <row r="748" spans="1:17" ht="15">
      <c r="A748" s="153" t="s">
        <v>985</v>
      </c>
      <c r="B748" s="170" t="s">
        <v>1594</v>
      </c>
      <c r="C748" s="170" t="s">
        <v>986</v>
      </c>
      <c r="D748" s="158">
        <f>D749</f>
        <v>20777</v>
      </c>
      <c r="P748" s="30"/>
      <c r="Q748" s="30"/>
    </row>
    <row r="749" spans="1:17" ht="24">
      <c r="A749" s="152" t="s">
        <v>555</v>
      </c>
      <c r="B749" s="170" t="s">
        <v>1594</v>
      </c>
      <c r="C749" s="170" t="s">
        <v>556</v>
      </c>
      <c r="D749" s="158">
        <f>20735+42</f>
        <v>20777</v>
      </c>
      <c r="P749" s="30"/>
      <c r="Q749" s="30"/>
    </row>
    <row r="750" spans="1:17" ht="84">
      <c r="A750" s="152" t="s">
        <v>1790</v>
      </c>
      <c r="B750" s="170" t="s">
        <v>1791</v>
      </c>
      <c r="C750" s="170"/>
      <c r="D750" s="325">
        <f>D751</f>
        <v>152482.5</v>
      </c>
      <c r="P750" s="30"/>
      <c r="Q750" s="30"/>
    </row>
    <row r="751" spans="1:17" ht="15">
      <c r="A751" s="153" t="s">
        <v>985</v>
      </c>
      <c r="B751" s="170" t="s">
        <v>1791</v>
      </c>
      <c r="C751" s="170" t="s">
        <v>986</v>
      </c>
      <c r="D751" s="325">
        <f>D752</f>
        <v>152482.5</v>
      </c>
      <c r="P751" s="30"/>
      <c r="Q751" s="30"/>
    </row>
    <row r="752" spans="1:17" ht="24">
      <c r="A752" s="152" t="s">
        <v>555</v>
      </c>
      <c r="B752" s="170" t="s">
        <v>1791</v>
      </c>
      <c r="C752" s="170" t="s">
        <v>556</v>
      </c>
      <c r="D752" s="158">
        <v>152482.5</v>
      </c>
      <c r="P752" s="30"/>
      <c r="Q752" s="30"/>
    </row>
    <row r="753" spans="1:17" ht="15">
      <c r="A753" s="152" t="s">
        <v>1653</v>
      </c>
      <c r="B753" s="170" t="s">
        <v>1654</v>
      </c>
      <c r="C753" s="170"/>
      <c r="D753" s="158">
        <f>D754</f>
        <v>36229</v>
      </c>
      <c r="P753" s="30"/>
      <c r="Q753" s="30"/>
    </row>
    <row r="754" spans="1:17" ht="15">
      <c r="A754" s="153" t="s">
        <v>985</v>
      </c>
      <c r="B754" s="170" t="s">
        <v>1654</v>
      </c>
      <c r="C754" s="170" t="s">
        <v>986</v>
      </c>
      <c r="D754" s="158">
        <f>D755</f>
        <v>36229</v>
      </c>
      <c r="P754" s="30"/>
      <c r="Q754" s="30"/>
    </row>
    <row r="755" spans="1:17" ht="24">
      <c r="A755" s="152" t="s">
        <v>555</v>
      </c>
      <c r="B755" s="170" t="s">
        <v>1654</v>
      </c>
      <c r="C755" s="170" t="s">
        <v>556</v>
      </c>
      <c r="D755" s="158">
        <v>36229</v>
      </c>
      <c r="P755" s="30"/>
      <c r="Q755" s="30"/>
    </row>
    <row r="756" spans="1:17" ht="15">
      <c r="A756" s="162" t="s">
        <v>735</v>
      </c>
      <c r="B756" s="170" t="s">
        <v>1193</v>
      </c>
      <c r="C756" s="170"/>
      <c r="D756" s="158">
        <f>D757</f>
        <v>30082.9</v>
      </c>
      <c r="P756" s="30"/>
      <c r="Q756" s="30"/>
    </row>
    <row r="757" spans="1:17" ht="36">
      <c r="A757" s="152" t="s">
        <v>625</v>
      </c>
      <c r="B757" s="170" t="s">
        <v>1194</v>
      </c>
      <c r="C757" s="170"/>
      <c r="D757" s="158">
        <f>D758</f>
        <v>30082.9</v>
      </c>
      <c r="P757" s="30"/>
      <c r="Q757" s="30"/>
    </row>
    <row r="758" spans="1:17" ht="15">
      <c r="A758" s="153" t="s">
        <v>985</v>
      </c>
      <c r="B758" s="170" t="s">
        <v>1194</v>
      </c>
      <c r="C758" s="170" t="s">
        <v>986</v>
      </c>
      <c r="D758" s="158">
        <f>D759</f>
        <v>30082.9</v>
      </c>
      <c r="P758" s="30"/>
      <c r="Q758" s="30"/>
    </row>
    <row r="759" spans="1:17" ht="24">
      <c r="A759" s="152" t="s">
        <v>555</v>
      </c>
      <c r="B759" s="170" t="s">
        <v>1194</v>
      </c>
      <c r="C759" s="170" t="s">
        <v>556</v>
      </c>
      <c r="D759" s="158">
        <v>30082.9</v>
      </c>
      <c r="P759" s="30"/>
      <c r="Q759" s="30"/>
    </row>
    <row r="760" spans="1:17" ht="22.5">
      <c r="A760" s="230" t="s">
        <v>1368</v>
      </c>
      <c r="B760" s="231" t="s">
        <v>137</v>
      </c>
      <c r="C760" s="235"/>
      <c r="D760" s="227">
        <f>D761+D773+D780</f>
        <v>28276.3</v>
      </c>
      <c r="P760" s="30"/>
      <c r="Q760" s="30"/>
    </row>
    <row r="761" spans="1:17" ht="36">
      <c r="A761" s="260" t="s">
        <v>1310</v>
      </c>
      <c r="B761" s="147" t="s">
        <v>274</v>
      </c>
      <c r="C761" s="150"/>
      <c r="D761" s="158">
        <f>D762+D769</f>
        <v>2500</v>
      </c>
      <c r="P761" s="30"/>
      <c r="Q761" s="30"/>
    </row>
    <row r="762" spans="1:17" ht="33.75">
      <c r="A762" s="162" t="s">
        <v>1490</v>
      </c>
      <c r="B762" s="147" t="s">
        <v>617</v>
      </c>
      <c r="C762" s="147"/>
      <c r="D762" s="158">
        <f>D763+D766</f>
        <v>2350</v>
      </c>
      <c r="P762" s="30"/>
      <c r="Q762" s="30"/>
    </row>
    <row r="763" spans="1:17" ht="36">
      <c r="A763" s="157" t="s">
        <v>294</v>
      </c>
      <c r="B763" s="147" t="s">
        <v>618</v>
      </c>
      <c r="C763" s="147"/>
      <c r="D763" s="158">
        <f>D764</f>
        <v>1850</v>
      </c>
      <c r="P763" s="30"/>
      <c r="Q763" s="30"/>
    </row>
    <row r="764" spans="1:17" ht="15">
      <c r="A764" s="153" t="s">
        <v>985</v>
      </c>
      <c r="B764" s="147" t="s">
        <v>618</v>
      </c>
      <c r="C764" s="147" t="s">
        <v>986</v>
      </c>
      <c r="D764" s="158">
        <f>D765</f>
        <v>1850</v>
      </c>
      <c r="P764" s="30"/>
      <c r="Q764" s="30"/>
    </row>
    <row r="765" spans="1:17" ht="24">
      <c r="A765" s="152" t="s">
        <v>555</v>
      </c>
      <c r="B765" s="147" t="s">
        <v>618</v>
      </c>
      <c r="C765" s="147" t="s">
        <v>556</v>
      </c>
      <c r="D765" s="158">
        <f>500+1350</f>
        <v>1850</v>
      </c>
      <c r="J765" s="32">
        <f>D785</f>
        <v>543</v>
      </c>
      <c r="P765" s="30"/>
      <c r="Q765" s="30"/>
    </row>
    <row r="766" spans="1:17" ht="48">
      <c r="A766" s="157" t="s">
        <v>1140</v>
      </c>
      <c r="B766" s="147" t="s">
        <v>619</v>
      </c>
      <c r="C766" s="147"/>
      <c r="D766" s="158">
        <f>D767</f>
        <v>500</v>
      </c>
      <c r="P766" s="30"/>
      <c r="Q766" s="30"/>
    </row>
    <row r="767" spans="1:17" ht="15">
      <c r="A767" s="153" t="s">
        <v>985</v>
      </c>
      <c r="B767" s="147" t="s">
        <v>619</v>
      </c>
      <c r="C767" s="147" t="s">
        <v>986</v>
      </c>
      <c r="D767" s="158">
        <f>D768</f>
        <v>500</v>
      </c>
      <c r="P767" s="30"/>
      <c r="Q767" s="30"/>
    </row>
    <row r="768" spans="1:17" ht="24">
      <c r="A768" s="152" t="s">
        <v>555</v>
      </c>
      <c r="B768" s="147" t="s">
        <v>619</v>
      </c>
      <c r="C768" s="147" t="s">
        <v>556</v>
      </c>
      <c r="D768" s="158">
        <v>500</v>
      </c>
      <c r="P768" s="30"/>
      <c r="Q768" s="30"/>
    </row>
    <row r="769" spans="1:17" ht="22.5">
      <c r="A769" s="162" t="s">
        <v>1219</v>
      </c>
      <c r="B769" s="147" t="s">
        <v>1220</v>
      </c>
      <c r="C769" s="147"/>
      <c r="D769" s="279">
        <f>D770</f>
        <v>150</v>
      </c>
      <c r="P769" s="30"/>
      <c r="Q769" s="30"/>
    </row>
    <row r="770" spans="1:17" ht="24">
      <c r="A770" s="152" t="s">
        <v>1591</v>
      </c>
      <c r="B770" s="147" t="s">
        <v>1592</v>
      </c>
      <c r="C770" s="147"/>
      <c r="D770" s="279">
        <f>D771</f>
        <v>150</v>
      </c>
      <c r="P770" s="30"/>
      <c r="Q770" s="30"/>
    </row>
    <row r="771" spans="1:17" ht="24">
      <c r="A771" s="152" t="s">
        <v>1066</v>
      </c>
      <c r="B771" s="147" t="s">
        <v>1592</v>
      </c>
      <c r="C771" s="147" t="s">
        <v>529</v>
      </c>
      <c r="D771" s="279">
        <f>D772</f>
        <v>150</v>
      </c>
      <c r="P771" s="30"/>
      <c r="Q771" s="30"/>
    </row>
    <row r="772" spans="1:17" ht="15">
      <c r="A772" s="153" t="s">
        <v>974</v>
      </c>
      <c r="B772" s="147" t="s">
        <v>1592</v>
      </c>
      <c r="C772" s="147" t="s">
        <v>429</v>
      </c>
      <c r="D772" s="158">
        <v>150</v>
      </c>
      <c r="P772" s="30"/>
      <c r="Q772" s="30"/>
    </row>
    <row r="773" spans="1:17" ht="24">
      <c r="A773" s="260" t="s">
        <v>1280</v>
      </c>
      <c r="B773" s="147" t="s">
        <v>138</v>
      </c>
      <c r="C773" s="150"/>
      <c r="D773" s="158">
        <f>D774</f>
        <v>2691.3</v>
      </c>
      <c r="P773" s="30"/>
      <c r="Q773" s="30"/>
    </row>
    <row r="774" spans="1:17" ht="33.75">
      <c r="A774" s="162" t="s">
        <v>1491</v>
      </c>
      <c r="B774" s="147" t="s">
        <v>139</v>
      </c>
      <c r="C774" s="147"/>
      <c r="D774" s="158">
        <f>D775</f>
        <v>2691.3</v>
      </c>
      <c r="P774" s="30"/>
      <c r="Q774" s="30"/>
    </row>
    <row r="775" spans="1:17" ht="15">
      <c r="A775" s="152" t="s">
        <v>141</v>
      </c>
      <c r="B775" s="147" t="s">
        <v>140</v>
      </c>
      <c r="C775" s="147"/>
      <c r="D775" s="158">
        <f>D776</f>
        <v>2691.3</v>
      </c>
      <c r="P775" s="30"/>
      <c r="Q775" s="30"/>
    </row>
    <row r="776" spans="1:17" ht="15">
      <c r="A776" s="157" t="s">
        <v>985</v>
      </c>
      <c r="B776" s="147" t="s">
        <v>140</v>
      </c>
      <c r="C776" s="147" t="s">
        <v>986</v>
      </c>
      <c r="D776" s="158">
        <f>D777</f>
        <v>2691.3</v>
      </c>
      <c r="P776" s="30"/>
      <c r="Q776" s="30"/>
    </row>
    <row r="777" spans="1:17" ht="36">
      <c r="A777" s="152" t="s">
        <v>163</v>
      </c>
      <c r="B777" s="147" t="s">
        <v>140</v>
      </c>
      <c r="C777" s="147" t="s">
        <v>556</v>
      </c>
      <c r="D777" s="158">
        <f>2691.3</f>
        <v>2691.3</v>
      </c>
      <c r="P777" s="30"/>
      <c r="Q777" s="30"/>
    </row>
    <row r="778" spans="1:17" ht="24">
      <c r="A778" s="164" t="s">
        <v>627</v>
      </c>
      <c r="B778" s="147"/>
      <c r="C778" s="150"/>
      <c r="D778" s="158"/>
      <c r="P778" s="30"/>
      <c r="Q778" s="30"/>
    </row>
    <row r="779" spans="1:17" ht="24">
      <c r="A779" s="164" t="s">
        <v>628</v>
      </c>
      <c r="B779" s="147"/>
      <c r="C779" s="150"/>
      <c r="D779" s="158"/>
      <c r="P779" s="30"/>
      <c r="Q779" s="30"/>
    </row>
    <row r="780" spans="1:17" ht="24">
      <c r="A780" s="260" t="s">
        <v>1298</v>
      </c>
      <c r="B780" s="147" t="s">
        <v>243</v>
      </c>
      <c r="C780" s="150"/>
      <c r="D780" s="158">
        <f>D781+D788+D792</f>
        <v>23085</v>
      </c>
      <c r="P780" s="30"/>
      <c r="Q780" s="30"/>
    </row>
    <row r="781" spans="1:17" ht="24">
      <c r="A781" s="239" t="s">
        <v>1489</v>
      </c>
      <c r="B781" s="147" t="s">
        <v>218</v>
      </c>
      <c r="C781" s="147"/>
      <c r="D781" s="158">
        <f>D782+D785</f>
        <v>600</v>
      </c>
      <c r="P781" s="30"/>
      <c r="Q781" s="30"/>
    </row>
    <row r="782" spans="1:17" ht="36">
      <c r="A782" s="157" t="s">
        <v>217</v>
      </c>
      <c r="B782" s="147" t="s">
        <v>244</v>
      </c>
      <c r="C782" s="147"/>
      <c r="D782" s="158">
        <f>D783</f>
        <v>57</v>
      </c>
      <c r="P782" s="30"/>
      <c r="Q782" s="30"/>
    </row>
    <row r="783" spans="1:17" ht="24" hidden="1">
      <c r="A783" s="153" t="s">
        <v>1066</v>
      </c>
      <c r="B783" s="147" t="s">
        <v>244</v>
      </c>
      <c r="C783" s="147" t="s">
        <v>529</v>
      </c>
      <c r="D783" s="158">
        <f>D784</f>
        <v>57</v>
      </c>
      <c r="P783" s="30"/>
      <c r="Q783" s="30"/>
    </row>
    <row r="784" spans="1:17" ht="15" hidden="1">
      <c r="A784" s="153" t="s">
        <v>591</v>
      </c>
      <c r="B784" s="147" t="s">
        <v>244</v>
      </c>
      <c r="C784" s="147" t="s">
        <v>429</v>
      </c>
      <c r="D784" s="158">
        <v>57</v>
      </c>
      <c r="P784" s="30"/>
      <c r="Q784" s="30"/>
    </row>
    <row r="785" spans="1:17" ht="48">
      <c r="A785" s="157" t="s">
        <v>901</v>
      </c>
      <c r="B785" s="147" t="s">
        <v>245</v>
      </c>
      <c r="C785" s="147"/>
      <c r="D785" s="158">
        <f>D786</f>
        <v>543</v>
      </c>
      <c r="P785" s="30"/>
      <c r="Q785" s="30"/>
    </row>
    <row r="786" spans="1:17" ht="24">
      <c r="A786" s="153" t="s">
        <v>1066</v>
      </c>
      <c r="B786" s="147" t="s">
        <v>245</v>
      </c>
      <c r="C786" s="147" t="s">
        <v>529</v>
      </c>
      <c r="D786" s="158">
        <f>D787</f>
        <v>543</v>
      </c>
      <c r="P786" s="30"/>
      <c r="Q786" s="30"/>
    </row>
    <row r="787" spans="1:17" ht="15">
      <c r="A787" s="153" t="s">
        <v>974</v>
      </c>
      <c r="B787" s="147" t="s">
        <v>245</v>
      </c>
      <c r="C787" s="147" t="s">
        <v>429</v>
      </c>
      <c r="D787" s="158">
        <v>543</v>
      </c>
      <c r="P787" s="30"/>
      <c r="Q787" s="30"/>
    </row>
    <row r="788" spans="1:17" ht="35.25">
      <c r="A788" s="239" t="s">
        <v>1492</v>
      </c>
      <c r="B788" s="147" t="s">
        <v>1008</v>
      </c>
      <c r="C788" s="147"/>
      <c r="D788" s="158">
        <f>D789</f>
        <v>14176</v>
      </c>
      <c r="P788" s="30"/>
      <c r="Q788" s="30"/>
    </row>
    <row r="789" spans="1:17" ht="15">
      <c r="A789" s="152" t="s">
        <v>493</v>
      </c>
      <c r="B789" s="147" t="s">
        <v>1009</v>
      </c>
      <c r="C789" s="147"/>
      <c r="D789" s="158">
        <f>D790</f>
        <v>14176</v>
      </c>
      <c r="P789" s="30"/>
      <c r="Q789" s="30"/>
    </row>
    <row r="790" spans="1:17" ht="24">
      <c r="A790" s="152" t="s">
        <v>490</v>
      </c>
      <c r="B790" s="147" t="s">
        <v>1009</v>
      </c>
      <c r="C790" s="147" t="s">
        <v>489</v>
      </c>
      <c r="D790" s="158">
        <f>D791</f>
        <v>14176</v>
      </c>
      <c r="P790" s="30"/>
      <c r="Q790" s="30"/>
    </row>
    <row r="791" spans="1:17" ht="15">
      <c r="A791" s="157" t="s">
        <v>371</v>
      </c>
      <c r="B791" s="147" t="s">
        <v>1009</v>
      </c>
      <c r="C791" s="147" t="s">
        <v>574</v>
      </c>
      <c r="D791" s="158">
        <f>16000-1824</f>
        <v>14176</v>
      </c>
      <c r="P791" s="30"/>
      <c r="Q791" s="30"/>
    </row>
    <row r="792" spans="1:17" ht="36">
      <c r="A792" s="157" t="s">
        <v>1794</v>
      </c>
      <c r="B792" s="147" t="s">
        <v>1793</v>
      </c>
      <c r="C792" s="147"/>
      <c r="D792" s="325">
        <f>D793</f>
        <v>8309</v>
      </c>
      <c r="P792" s="30"/>
      <c r="Q792" s="30"/>
    </row>
    <row r="793" spans="1:17" ht="15">
      <c r="A793" s="153" t="s">
        <v>841</v>
      </c>
      <c r="B793" s="147" t="s">
        <v>1792</v>
      </c>
      <c r="C793" s="147"/>
      <c r="D793" s="155">
        <f>D794+D796</f>
        <v>8309</v>
      </c>
      <c r="P793" s="30"/>
      <c r="Q793" s="30"/>
    </row>
    <row r="794" spans="1:17" ht="48">
      <c r="A794" s="153" t="s">
        <v>1065</v>
      </c>
      <c r="B794" s="147" t="s">
        <v>1792</v>
      </c>
      <c r="C794" s="147" t="s">
        <v>960</v>
      </c>
      <c r="D794" s="155">
        <f>D795</f>
        <v>6689</v>
      </c>
      <c r="P794" s="30"/>
      <c r="Q794" s="30"/>
    </row>
    <row r="795" spans="1:17" ht="15">
      <c r="A795" s="152" t="s">
        <v>1165</v>
      </c>
      <c r="B795" s="147" t="s">
        <v>1792</v>
      </c>
      <c r="C795" s="147" t="s">
        <v>1166</v>
      </c>
      <c r="D795" s="158">
        <v>6689</v>
      </c>
      <c r="P795" s="30"/>
      <c r="Q795" s="30"/>
    </row>
    <row r="796" spans="1:17" ht="24">
      <c r="A796" s="153" t="s">
        <v>1066</v>
      </c>
      <c r="B796" s="147" t="s">
        <v>1792</v>
      </c>
      <c r="C796" s="147" t="s">
        <v>529</v>
      </c>
      <c r="D796" s="155">
        <f>D797</f>
        <v>1620</v>
      </c>
      <c r="P796" s="30"/>
      <c r="Q796" s="30"/>
    </row>
    <row r="797" spans="1:17" ht="15">
      <c r="A797" s="153" t="s">
        <v>591</v>
      </c>
      <c r="B797" s="147" t="s">
        <v>1792</v>
      </c>
      <c r="C797" s="147" t="s">
        <v>429</v>
      </c>
      <c r="D797" s="158">
        <v>1620</v>
      </c>
      <c r="P797" s="30"/>
      <c r="Q797" s="30"/>
    </row>
    <row r="798" spans="1:17" ht="22.5">
      <c r="A798" s="230" t="s">
        <v>1369</v>
      </c>
      <c r="B798" s="231" t="s">
        <v>733</v>
      </c>
      <c r="C798" s="235"/>
      <c r="D798" s="227">
        <f>D799+D841+D869+D874+D881+D890+D930+D940+D947+D956+D965+D1003+D1012+D1021</f>
        <v>947799.6</v>
      </c>
      <c r="P798" s="30"/>
      <c r="Q798" s="30"/>
    </row>
    <row r="799" spans="1:17" ht="48">
      <c r="A799" s="260" t="s">
        <v>1347</v>
      </c>
      <c r="B799" s="147" t="s">
        <v>382</v>
      </c>
      <c r="C799" s="150"/>
      <c r="D799" s="158">
        <f>D800+D809+D816+D820+D830+D834</f>
        <v>26785.5</v>
      </c>
      <c r="P799" s="30"/>
      <c r="Q799" s="30"/>
    </row>
    <row r="800" spans="1:17" ht="45">
      <c r="A800" s="162" t="s">
        <v>1707</v>
      </c>
      <c r="B800" s="147" t="s">
        <v>383</v>
      </c>
      <c r="C800" s="147"/>
      <c r="D800" s="158">
        <f>D801+D804</f>
        <v>17808.5</v>
      </c>
      <c r="P800" s="30"/>
      <c r="Q800" s="30"/>
    </row>
    <row r="801" spans="1:17" ht="15">
      <c r="A801" s="157" t="s">
        <v>191</v>
      </c>
      <c r="B801" s="147" t="s">
        <v>609</v>
      </c>
      <c r="C801" s="147"/>
      <c r="D801" s="158">
        <f>D802</f>
        <v>205</v>
      </c>
      <c r="P801" s="30"/>
      <c r="Q801" s="30"/>
    </row>
    <row r="802" spans="1:17" ht="24">
      <c r="A802" s="153" t="s">
        <v>1066</v>
      </c>
      <c r="B802" s="147" t="s">
        <v>609</v>
      </c>
      <c r="C802" s="147" t="s">
        <v>529</v>
      </c>
      <c r="D802" s="158">
        <f>D803</f>
        <v>205</v>
      </c>
      <c r="E802" s="274"/>
      <c r="F802" s="274"/>
      <c r="P802" s="30"/>
      <c r="Q802" s="30"/>
    </row>
    <row r="803" spans="1:17" ht="15">
      <c r="A803" s="153" t="s">
        <v>591</v>
      </c>
      <c r="B803" s="147" t="s">
        <v>609</v>
      </c>
      <c r="C803" s="147" t="s">
        <v>429</v>
      </c>
      <c r="D803" s="158">
        <f>4300+205-4300</f>
        <v>205</v>
      </c>
      <c r="G803" s="63"/>
      <c r="J803" s="32">
        <f>D824+D827+D835+D848+D851+D854+D857+D860+D866+D899+D904+D942</f>
        <v>16180.9</v>
      </c>
      <c r="P803" s="30"/>
      <c r="Q803" s="30"/>
    </row>
    <row r="804" spans="1:17" ht="24">
      <c r="A804" s="254" t="s">
        <v>385</v>
      </c>
      <c r="B804" s="147" t="s">
        <v>384</v>
      </c>
      <c r="C804" s="147"/>
      <c r="D804" s="158">
        <f>D805+D807</f>
        <v>17603.5</v>
      </c>
      <c r="P804" s="30"/>
      <c r="Q804" s="30"/>
    </row>
    <row r="805" spans="1:17" ht="48">
      <c r="A805" s="153" t="s">
        <v>1065</v>
      </c>
      <c r="B805" s="147" t="s">
        <v>384</v>
      </c>
      <c r="C805" s="147" t="s">
        <v>960</v>
      </c>
      <c r="D805" s="158">
        <f>D806</f>
        <v>7164.2</v>
      </c>
      <c r="P805" s="30"/>
      <c r="Q805" s="30"/>
    </row>
    <row r="806" spans="1:17" ht="15">
      <c r="A806" s="152" t="s">
        <v>1165</v>
      </c>
      <c r="B806" s="147" t="s">
        <v>384</v>
      </c>
      <c r="C806" s="147" t="s">
        <v>1166</v>
      </c>
      <c r="D806" s="158">
        <f>7474.9-310.7</f>
        <v>7164.2</v>
      </c>
      <c r="P806" s="30"/>
      <c r="Q806" s="30"/>
    </row>
    <row r="807" spans="1:17" ht="24">
      <c r="A807" s="153" t="s">
        <v>1066</v>
      </c>
      <c r="B807" s="147" t="s">
        <v>384</v>
      </c>
      <c r="C807" s="147" t="s">
        <v>529</v>
      </c>
      <c r="D807" s="158">
        <f>D808</f>
        <v>10439.3</v>
      </c>
      <c r="P807" s="30"/>
      <c r="Q807" s="30"/>
    </row>
    <row r="808" spans="1:17" ht="15">
      <c r="A808" s="153" t="s">
        <v>974</v>
      </c>
      <c r="B808" s="147" t="s">
        <v>384</v>
      </c>
      <c r="C808" s="147" t="s">
        <v>429</v>
      </c>
      <c r="D808" s="158">
        <f>8113.7-246.4+1850+142+430+150</f>
        <v>10439.3</v>
      </c>
      <c r="P808" s="30"/>
      <c r="Q808" s="30"/>
    </row>
    <row r="809" spans="1:17" ht="46.5">
      <c r="A809" s="239" t="s">
        <v>1631</v>
      </c>
      <c r="B809" s="147" t="s">
        <v>386</v>
      </c>
      <c r="C809" s="147"/>
      <c r="D809" s="158">
        <f>D810+D813</f>
        <v>4309.3</v>
      </c>
      <c r="P809" s="30"/>
      <c r="Q809" s="30"/>
    </row>
    <row r="810" spans="1:17" ht="24">
      <c r="A810" s="254" t="s">
        <v>385</v>
      </c>
      <c r="B810" s="147" t="s">
        <v>387</v>
      </c>
      <c r="C810" s="147"/>
      <c r="D810" s="158">
        <f>D811</f>
        <v>9.3</v>
      </c>
      <c r="P810" s="30"/>
      <c r="Q810" s="30"/>
    </row>
    <row r="811" spans="1:17" ht="24">
      <c r="A811" s="153" t="s">
        <v>1066</v>
      </c>
      <c r="B811" s="147" t="s">
        <v>387</v>
      </c>
      <c r="C811" s="147" t="s">
        <v>529</v>
      </c>
      <c r="D811" s="158">
        <f>D812</f>
        <v>9.3</v>
      </c>
      <c r="P811" s="30"/>
      <c r="Q811" s="30"/>
    </row>
    <row r="812" spans="1:17" ht="15">
      <c r="A812" s="153" t="s">
        <v>974</v>
      </c>
      <c r="B812" s="147" t="s">
        <v>387</v>
      </c>
      <c r="C812" s="147" t="s">
        <v>429</v>
      </c>
      <c r="D812" s="158">
        <v>9.3</v>
      </c>
      <c r="P812" s="30"/>
      <c r="Q812" s="30"/>
    </row>
    <row r="813" spans="1:17" ht="15">
      <c r="A813" s="157" t="s">
        <v>191</v>
      </c>
      <c r="B813" s="147" t="s">
        <v>679</v>
      </c>
      <c r="C813" s="147"/>
      <c r="D813" s="158">
        <f>D814</f>
        <v>4300</v>
      </c>
      <c r="P813" s="30"/>
      <c r="Q813" s="30"/>
    </row>
    <row r="814" spans="1:17" ht="24">
      <c r="A814" s="153" t="s">
        <v>1066</v>
      </c>
      <c r="B814" s="147" t="s">
        <v>679</v>
      </c>
      <c r="C814" s="147" t="s">
        <v>529</v>
      </c>
      <c r="D814" s="158">
        <f>D815</f>
        <v>4300</v>
      </c>
      <c r="P814" s="30"/>
      <c r="Q814" s="30"/>
    </row>
    <row r="815" spans="1:17" ht="15">
      <c r="A815" s="153" t="s">
        <v>974</v>
      </c>
      <c r="B815" s="147" t="s">
        <v>679</v>
      </c>
      <c r="C815" s="147" t="s">
        <v>429</v>
      </c>
      <c r="D815" s="158">
        <f>200+77+4300-277</f>
        <v>4300</v>
      </c>
      <c r="P815" s="30"/>
      <c r="Q815" s="30"/>
    </row>
    <row r="816" spans="1:17" ht="46.5">
      <c r="A816" s="239" t="s">
        <v>1632</v>
      </c>
      <c r="B816" s="147" t="s">
        <v>388</v>
      </c>
      <c r="C816" s="147"/>
      <c r="D816" s="158">
        <f>D817</f>
        <v>277</v>
      </c>
      <c r="P816" s="30"/>
      <c r="Q816" s="30"/>
    </row>
    <row r="817" spans="1:17" ht="15">
      <c r="A817" s="157" t="s">
        <v>191</v>
      </c>
      <c r="B817" s="147" t="s">
        <v>1633</v>
      </c>
      <c r="C817" s="147"/>
      <c r="D817" s="155">
        <f>D818</f>
        <v>277</v>
      </c>
      <c r="P817" s="30"/>
      <c r="Q817" s="30"/>
    </row>
    <row r="818" spans="1:17" ht="24">
      <c r="A818" s="153" t="s">
        <v>1066</v>
      </c>
      <c r="B818" s="147" t="s">
        <v>1633</v>
      </c>
      <c r="C818" s="147" t="s">
        <v>529</v>
      </c>
      <c r="D818" s="155">
        <f>D819</f>
        <v>277</v>
      </c>
      <c r="P818" s="30"/>
      <c r="Q818" s="30"/>
    </row>
    <row r="819" spans="1:17" ht="15">
      <c r="A819" s="153" t="s">
        <v>591</v>
      </c>
      <c r="B819" s="147" t="s">
        <v>1633</v>
      </c>
      <c r="C819" s="147" t="s">
        <v>429</v>
      </c>
      <c r="D819" s="158">
        <v>277</v>
      </c>
      <c r="P819" s="30"/>
      <c r="Q819" s="30"/>
    </row>
    <row r="820" spans="1:17" ht="45">
      <c r="A820" s="162" t="s">
        <v>1634</v>
      </c>
      <c r="B820" s="147" t="s">
        <v>745</v>
      </c>
      <c r="C820" s="147"/>
      <c r="D820" s="158">
        <f>D821+D824+D827</f>
        <v>3964.5</v>
      </c>
      <c r="P820" s="30"/>
      <c r="Q820" s="30"/>
    </row>
    <row r="821" spans="1:17" ht="24">
      <c r="A821" s="254" t="s">
        <v>385</v>
      </c>
      <c r="B821" s="147" t="s">
        <v>390</v>
      </c>
      <c r="C821" s="147"/>
      <c r="D821" s="158">
        <f>D822</f>
        <v>3544.5</v>
      </c>
      <c r="P821" s="30"/>
      <c r="Q821" s="30"/>
    </row>
    <row r="822" spans="1:17" ht="24">
      <c r="A822" s="153" t="s">
        <v>1066</v>
      </c>
      <c r="B822" s="147" t="s">
        <v>390</v>
      </c>
      <c r="C822" s="147" t="s">
        <v>529</v>
      </c>
      <c r="D822" s="158">
        <f>D823</f>
        <v>3544.5</v>
      </c>
      <c r="P822" s="30"/>
      <c r="Q822" s="30"/>
    </row>
    <row r="823" spans="1:17" ht="15">
      <c r="A823" s="153" t="s">
        <v>974</v>
      </c>
      <c r="B823" s="147" t="s">
        <v>390</v>
      </c>
      <c r="C823" s="147" t="s">
        <v>429</v>
      </c>
      <c r="D823" s="158">
        <f>2239.4+1305.1</f>
        <v>3544.5</v>
      </c>
      <c r="P823" s="30"/>
      <c r="Q823" s="30"/>
    </row>
    <row r="824" spans="1:17" ht="36">
      <c r="A824" s="153" t="s">
        <v>943</v>
      </c>
      <c r="B824" s="147" t="s">
        <v>608</v>
      </c>
      <c r="C824" s="147"/>
      <c r="D824" s="158">
        <f>D825</f>
        <v>420</v>
      </c>
      <c r="P824" s="30"/>
      <c r="Q824" s="30"/>
    </row>
    <row r="825" spans="1:17" ht="24">
      <c r="A825" s="153" t="s">
        <v>1066</v>
      </c>
      <c r="B825" s="147" t="s">
        <v>608</v>
      </c>
      <c r="C825" s="147" t="s">
        <v>529</v>
      </c>
      <c r="D825" s="158">
        <f>D826</f>
        <v>420</v>
      </c>
      <c r="P825" s="30"/>
      <c r="Q825" s="30"/>
    </row>
    <row r="826" spans="1:17" ht="15">
      <c r="A826" s="153" t="s">
        <v>591</v>
      </c>
      <c r="B826" s="147" t="s">
        <v>608</v>
      </c>
      <c r="C826" s="147" t="s">
        <v>429</v>
      </c>
      <c r="D826" s="158">
        <f>420</f>
        <v>420</v>
      </c>
      <c r="P826" s="30"/>
      <c r="Q826" s="30"/>
    </row>
    <row r="827" spans="1:17" ht="60">
      <c r="A827" s="153" t="s">
        <v>941</v>
      </c>
      <c r="B827" s="147" t="s">
        <v>607</v>
      </c>
      <c r="C827" s="147"/>
      <c r="D827" s="158">
        <f>D828</f>
        <v>0</v>
      </c>
      <c r="P827" s="30"/>
      <c r="Q827" s="30"/>
    </row>
    <row r="828" spans="1:17" ht="24">
      <c r="A828" s="153" t="s">
        <v>1066</v>
      </c>
      <c r="B828" s="147" t="s">
        <v>607</v>
      </c>
      <c r="C828" s="147" t="s">
        <v>529</v>
      </c>
      <c r="D828" s="158">
        <f>D829</f>
        <v>0</v>
      </c>
      <c r="P828" s="30"/>
      <c r="Q828" s="30"/>
    </row>
    <row r="829" spans="1:17" ht="15">
      <c r="A829" s="153" t="s">
        <v>974</v>
      </c>
      <c r="B829" s="147" t="s">
        <v>607</v>
      </c>
      <c r="C829" s="147" t="s">
        <v>429</v>
      </c>
      <c r="D829" s="158">
        <f>490-490</f>
        <v>0</v>
      </c>
      <c r="P829" s="30"/>
      <c r="Q829" s="30"/>
    </row>
    <row r="830" spans="1:17" ht="35.25">
      <c r="A830" s="239" t="s">
        <v>1496</v>
      </c>
      <c r="B830" s="147" t="s">
        <v>1110</v>
      </c>
      <c r="C830" s="147"/>
      <c r="D830" s="158">
        <f>D831</f>
        <v>0</v>
      </c>
      <c r="P830" s="30"/>
      <c r="Q830" s="30"/>
    </row>
    <row r="831" spans="1:17" ht="24">
      <c r="A831" s="254" t="s">
        <v>385</v>
      </c>
      <c r="B831" s="147" t="s">
        <v>1111</v>
      </c>
      <c r="C831" s="147"/>
      <c r="D831" s="158">
        <f>D832</f>
        <v>0</v>
      </c>
      <c r="P831" s="30"/>
      <c r="Q831" s="30"/>
    </row>
    <row r="832" spans="1:17" ht="24">
      <c r="A832" s="153" t="s">
        <v>1066</v>
      </c>
      <c r="B832" s="147" t="s">
        <v>1111</v>
      </c>
      <c r="C832" s="147" t="s">
        <v>529</v>
      </c>
      <c r="D832" s="158">
        <f>D833</f>
        <v>0</v>
      </c>
      <c r="P832" s="30"/>
      <c r="Q832" s="30"/>
    </row>
    <row r="833" spans="1:17" ht="15">
      <c r="A833" s="153" t="s">
        <v>974</v>
      </c>
      <c r="B833" s="147" t="s">
        <v>1111</v>
      </c>
      <c r="C833" s="147" t="s">
        <v>429</v>
      </c>
      <c r="D833" s="158">
        <f>520-520</f>
        <v>0</v>
      </c>
      <c r="P833" s="30"/>
      <c r="Q833" s="30"/>
    </row>
    <row r="834" spans="1:17" ht="36">
      <c r="A834" s="153" t="s">
        <v>1640</v>
      </c>
      <c r="B834" s="147" t="s">
        <v>1641</v>
      </c>
      <c r="C834" s="147"/>
      <c r="D834" s="158">
        <f>D835+D838</f>
        <v>426.2</v>
      </c>
      <c r="P834" s="30"/>
      <c r="Q834" s="30"/>
    </row>
    <row r="835" spans="1:17" ht="60">
      <c r="A835" s="153" t="s">
        <v>1642</v>
      </c>
      <c r="B835" s="147" t="s">
        <v>1643</v>
      </c>
      <c r="C835" s="147"/>
      <c r="D835" s="158">
        <f>D836</f>
        <v>404.9</v>
      </c>
      <c r="P835" s="30"/>
      <c r="Q835" s="30"/>
    </row>
    <row r="836" spans="1:17" ht="24">
      <c r="A836" s="152" t="s">
        <v>490</v>
      </c>
      <c r="B836" s="147" t="s">
        <v>1643</v>
      </c>
      <c r="C836" s="147" t="s">
        <v>489</v>
      </c>
      <c r="D836" s="158">
        <f>D837</f>
        <v>404.9</v>
      </c>
      <c r="P836" s="30"/>
      <c r="Q836" s="30"/>
    </row>
    <row r="837" spans="1:17" ht="15">
      <c r="A837" s="157" t="s">
        <v>371</v>
      </c>
      <c r="B837" s="147" t="s">
        <v>1643</v>
      </c>
      <c r="C837" s="147" t="s">
        <v>574</v>
      </c>
      <c r="D837" s="158">
        <v>404.9</v>
      </c>
      <c r="P837" s="30"/>
      <c r="Q837" s="30"/>
    </row>
    <row r="838" spans="1:17" ht="60">
      <c r="A838" s="153" t="s">
        <v>1645</v>
      </c>
      <c r="B838" s="147" t="s">
        <v>1646</v>
      </c>
      <c r="C838" s="147"/>
      <c r="D838" s="158">
        <f>D839</f>
        <v>21.3</v>
      </c>
      <c r="P838" s="30"/>
      <c r="Q838" s="30"/>
    </row>
    <row r="839" spans="1:17" ht="24">
      <c r="A839" s="152" t="s">
        <v>490</v>
      </c>
      <c r="B839" s="147" t="s">
        <v>1646</v>
      </c>
      <c r="C839" s="147" t="s">
        <v>489</v>
      </c>
      <c r="D839" s="158">
        <f>D840</f>
        <v>21.3</v>
      </c>
      <c r="P839" s="30"/>
      <c r="Q839" s="30"/>
    </row>
    <row r="840" spans="1:17" ht="15">
      <c r="A840" s="157" t="s">
        <v>371</v>
      </c>
      <c r="B840" s="147" t="s">
        <v>1646</v>
      </c>
      <c r="C840" s="147" t="s">
        <v>574</v>
      </c>
      <c r="D840" s="158">
        <v>21.3</v>
      </c>
      <c r="P840" s="30"/>
      <c r="Q840" s="30"/>
    </row>
    <row r="841" spans="1:17" ht="60">
      <c r="A841" s="259" t="s">
        <v>1635</v>
      </c>
      <c r="B841" s="147" t="s">
        <v>144</v>
      </c>
      <c r="C841" s="150"/>
      <c r="D841" s="158">
        <f>D842</f>
        <v>110757.2</v>
      </c>
      <c r="P841" s="30"/>
      <c r="Q841" s="30"/>
    </row>
    <row r="842" spans="1:17" ht="15">
      <c r="A842" s="239" t="s">
        <v>142</v>
      </c>
      <c r="B842" s="147" t="s">
        <v>610</v>
      </c>
      <c r="C842" s="147"/>
      <c r="D842" s="158">
        <f>D843+D848+D851+D854+D857+D860+D866+D863</f>
        <v>110757.2</v>
      </c>
      <c r="P842" s="30"/>
      <c r="Q842" s="30"/>
    </row>
    <row r="843" spans="1:17" ht="24">
      <c r="A843" s="159" t="s">
        <v>143</v>
      </c>
      <c r="B843" s="147" t="s">
        <v>611</v>
      </c>
      <c r="C843" s="147"/>
      <c r="D843" s="158">
        <f>D844+D846</f>
        <v>106627.2</v>
      </c>
      <c r="P843" s="30"/>
      <c r="Q843" s="30"/>
    </row>
    <row r="844" spans="1:17" ht="24">
      <c r="A844" s="153" t="s">
        <v>1066</v>
      </c>
      <c r="B844" s="147" t="s">
        <v>611</v>
      </c>
      <c r="C844" s="147" t="s">
        <v>680</v>
      </c>
      <c r="D844" s="158">
        <f>D845</f>
        <v>0</v>
      </c>
      <c r="P844" s="30"/>
      <c r="Q844" s="30"/>
    </row>
    <row r="845" spans="1:17" ht="15">
      <c r="A845" s="153" t="s">
        <v>974</v>
      </c>
      <c r="B845" s="147" t="s">
        <v>611</v>
      </c>
      <c r="C845" s="147" t="s">
        <v>429</v>
      </c>
      <c r="D845" s="158"/>
      <c r="P845" s="30"/>
      <c r="Q845" s="30"/>
    </row>
    <row r="846" spans="1:17" ht="24">
      <c r="A846" s="152" t="s">
        <v>490</v>
      </c>
      <c r="B846" s="147" t="s">
        <v>611</v>
      </c>
      <c r="C846" s="147" t="s">
        <v>489</v>
      </c>
      <c r="D846" s="158">
        <f>D847</f>
        <v>106627.2</v>
      </c>
      <c r="P846" s="30"/>
      <c r="Q846" s="30"/>
    </row>
    <row r="847" spans="1:17" ht="15">
      <c r="A847" s="157" t="s">
        <v>573</v>
      </c>
      <c r="B847" s="147" t="s">
        <v>611</v>
      </c>
      <c r="C847" s="147" t="s">
        <v>574</v>
      </c>
      <c r="D847" s="158">
        <f>84000+200+1000+1450+87.2+355.7+13644.3+5400+230+260</f>
        <v>106627.2</v>
      </c>
      <c r="P847" s="30"/>
      <c r="Q847" s="30"/>
    </row>
    <row r="848" spans="1:17" ht="24">
      <c r="A848" s="157" t="s">
        <v>1250</v>
      </c>
      <c r="B848" s="147" t="s">
        <v>1251</v>
      </c>
      <c r="C848" s="147"/>
      <c r="D848" s="158">
        <f>D849</f>
        <v>0</v>
      </c>
      <c r="P848" s="30"/>
      <c r="Q848" s="30"/>
    </row>
    <row r="849" spans="1:17" ht="24">
      <c r="A849" s="152" t="s">
        <v>490</v>
      </c>
      <c r="B849" s="147" t="s">
        <v>1251</v>
      </c>
      <c r="C849" s="147" t="s">
        <v>489</v>
      </c>
      <c r="D849" s="158">
        <f>D850</f>
        <v>0</v>
      </c>
      <c r="P849" s="30"/>
      <c r="Q849" s="30"/>
    </row>
    <row r="850" spans="1:17" ht="15">
      <c r="A850" s="157" t="s">
        <v>371</v>
      </c>
      <c r="B850" s="147" t="s">
        <v>1251</v>
      </c>
      <c r="C850" s="147" t="s">
        <v>574</v>
      </c>
      <c r="D850" s="158"/>
      <c r="P850" s="30"/>
      <c r="Q850" s="30"/>
    </row>
    <row r="851" spans="1:17" ht="48">
      <c r="A851" s="157" t="s">
        <v>1252</v>
      </c>
      <c r="B851" s="147" t="s">
        <v>1253</v>
      </c>
      <c r="C851" s="147"/>
      <c r="D851" s="158">
        <f>D852</f>
        <v>0</v>
      </c>
      <c r="P851" s="30"/>
      <c r="Q851" s="30"/>
    </row>
    <row r="852" spans="1:17" ht="24">
      <c r="A852" s="152" t="s">
        <v>490</v>
      </c>
      <c r="B852" s="147" t="s">
        <v>1253</v>
      </c>
      <c r="C852" s="147" t="s">
        <v>574</v>
      </c>
      <c r="D852" s="158">
        <f>D853</f>
        <v>0</v>
      </c>
      <c r="P852" s="30"/>
      <c r="Q852" s="30"/>
    </row>
    <row r="853" spans="1:17" ht="15">
      <c r="A853" s="157" t="s">
        <v>371</v>
      </c>
      <c r="B853" s="147" t="s">
        <v>1253</v>
      </c>
      <c r="C853" s="147" t="s">
        <v>574</v>
      </c>
      <c r="D853" s="158"/>
      <c r="P853" s="30"/>
      <c r="Q853" s="30"/>
    </row>
    <row r="854" spans="1:17" ht="36">
      <c r="A854" s="157" t="s">
        <v>1254</v>
      </c>
      <c r="B854" s="147" t="s">
        <v>1255</v>
      </c>
      <c r="C854" s="147"/>
      <c r="D854" s="158">
        <f>D855</f>
        <v>0</v>
      </c>
      <c r="P854" s="30"/>
      <c r="Q854" s="30"/>
    </row>
    <row r="855" spans="1:17" ht="24">
      <c r="A855" s="152" t="s">
        <v>490</v>
      </c>
      <c r="B855" s="147" t="s">
        <v>1255</v>
      </c>
      <c r="C855" s="147" t="s">
        <v>574</v>
      </c>
      <c r="D855" s="158">
        <f>D856</f>
        <v>0</v>
      </c>
      <c r="P855" s="30"/>
      <c r="Q855" s="30"/>
    </row>
    <row r="856" spans="1:17" ht="15">
      <c r="A856" s="157" t="s">
        <v>371</v>
      </c>
      <c r="B856" s="147" t="s">
        <v>1255</v>
      </c>
      <c r="C856" s="147" t="s">
        <v>574</v>
      </c>
      <c r="D856" s="158"/>
      <c r="P856" s="30"/>
      <c r="Q856" s="30"/>
    </row>
    <row r="857" spans="1:17" ht="48">
      <c r="A857" s="157" t="s">
        <v>1256</v>
      </c>
      <c r="B857" s="147" t="s">
        <v>1257</v>
      </c>
      <c r="C857" s="147"/>
      <c r="D857" s="158">
        <f>D858</f>
        <v>0</v>
      </c>
      <c r="P857" s="30"/>
      <c r="Q857" s="30"/>
    </row>
    <row r="858" spans="1:17" ht="24">
      <c r="A858" s="152" t="s">
        <v>490</v>
      </c>
      <c r="B858" s="147" t="s">
        <v>1257</v>
      </c>
      <c r="C858" s="147" t="s">
        <v>574</v>
      </c>
      <c r="D858" s="158">
        <f>D859</f>
        <v>0</v>
      </c>
      <c r="P858" s="30"/>
      <c r="Q858" s="30"/>
    </row>
    <row r="859" spans="1:17" ht="15">
      <c r="A859" s="157" t="s">
        <v>371</v>
      </c>
      <c r="B859" s="147" t="s">
        <v>1257</v>
      </c>
      <c r="C859" s="147" t="s">
        <v>574</v>
      </c>
      <c r="D859" s="158"/>
      <c r="P859" s="30"/>
      <c r="Q859" s="30"/>
    </row>
    <row r="860" spans="1:17" ht="36">
      <c r="A860" s="157" t="s">
        <v>1258</v>
      </c>
      <c r="B860" s="147" t="s">
        <v>1259</v>
      </c>
      <c r="C860" s="147"/>
      <c r="D860" s="158">
        <f>D861</f>
        <v>0</v>
      </c>
      <c r="P860" s="30"/>
      <c r="Q860" s="30"/>
    </row>
    <row r="861" spans="1:17" ht="24">
      <c r="A861" s="152" t="s">
        <v>490</v>
      </c>
      <c r="B861" s="147" t="s">
        <v>1259</v>
      </c>
      <c r="C861" s="147" t="s">
        <v>574</v>
      </c>
      <c r="D861" s="158">
        <f>D862</f>
        <v>0</v>
      </c>
      <c r="P861" s="30"/>
      <c r="Q861" s="30"/>
    </row>
    <row r="862" spans="1:17" ht="15">
      <c r="A862" s="157" t="s">
        <v>371</v>
      </c>
      <c r="B862" s="147" t="s">
        <v>1259</v>
      </c>
      <c r="C862" s="147" t="s">
        <v>574</v>
      </c>
      <c r="D862" s="158"/>
      <c r="P862" s="30"/>
      <c r="Q862" s="30"/>
    </row>
    <row r="863" spans="1:17" ht="72">
      <c r="A863" s="153" t="s">
        <v>1647</v>
      </c>
      <c r="B863" s="147" t="s">
        <v>1648</v>
      </c>
      <c r="C863" s="147"/>
      <c r="D863" s="158">
        <f>D864</f>
        <v>1503</v>
      </c>
      <c r="P863" s="30"/>
      <c r="Q863" s="30"/>
    </row>
    <row r="864" spans="1:17" ht="24">
      <c r="A864" s="152" t="s">
        <v>490</v>
      </c>
      <c r="B864" s="147" t="s">
        <v>1648</v>
      </c>
      <c r="C864" s="147" t="s">
        <v>489</v>
      </c>
      <c r="D864" s="158">
        <f>D865</f>
        <v>1503</v>
      </c>
      <c r="P864" s="30"/>
      <c r="Q864" s="30"/>
    </row>
    <row r="865" spans="1:17" ht="15">
      <c r="A865" s="157" t="s">
        <v>371</v>
      </c>
      <c r="B865" s="147" t="s">
        <v>1648</v>
      </c>
      <c r="C865" s="147" t="s">
        <v>574</v>
      </c>
      <c r="D865" s="158">
        <v>1503</v>
      </c>
      <c r="P865" s="30"/>
      <c r="Q865" s="30"/>
    </row>
    <row r="866" spans="1:17" ht="60">
      <c r="A866" s="153" t="s">
        <v>1650</v>
      </c>
      <c r="B866" s="147" t="s">
        <v>1651</v>
      </c>
      <c r="C866" s="147"/>
      <c r="D866" s="158">
        <f>D867</f>
        <v>2627</v>
      </c>
      <c r="P866" s="30"/>
      <c r="Q866" s="30"/>
    </row>
    <row r="867" spans="1:17" ht="24">
      <c r="A867" s="152" t="s">
        <v>490</v>
      </c>
      <c r="B867" s="147" t="s">
        <v>1651</v>
      </c>
      <c r="C867" s="147" t="s">
        <v>489</v>
      </c>
      <c r="D867" s="158">
        <f>D868</f>
        <v>2627</v>
      </c>
      <c r="P867" s="30"/>
      <c r="Q867" s="30"/>
    </row>
    <row r="868" spans="1:17" ht="15">
      <c r="A868" s="157" t="s">
        <v>371</v>
      </c>
      <c r="B868" s="147" t="s">
        <v>1651</v>
      </c>
      <c r="C868" s="147" t="s">
        <v>574</v>
      </c>
      <c r="D868" s="158">
        <v>2627</v>
      </c>
      <c r="P868" s="30"/>
      <c r="Q868" s="30"/>
    </row>
    <row r="869" spans="1:17" ht="24">
      <c r="A869" s="259" t="s">
        <v>1270</v>
      </c>
      <c r="B869" s="147" t="s">
        <v>239</v>
      </c>
      <c r="C869" s="147"/>
      <c r="D869" s="158">
        <f>D870</f>
        <v>550</v>
      </c>
      <c r="P869" s="30"/>
      <c r="Q869" s="30"/>
    </row>
    <row r="870" spans="1:17" ht="24">
      <c r="A870" s="239" t="s">
        <v>238</v>
      </c>
      <c r="B870" s="147" t="s">
        <v>605</v>
      </c>
      <c r="C870" s="147"/>
      <c r="D870" s="158">
        <f>D871</f>
        <v>550</v>
      </c>
      <c r="P870" s="30"/>
      <c r="Q870" s="30"/>
    </row>
    <row r="871" spans="1:17" ht="15">
      <c r="A871" s="157" t="s">
        <v>722</v>
      </c>
      <c r="B871" s="147" t="s">
        <v>606</v>
      </c>
      <c r="C871" s="147"/>
      <c r="D871" s="158">
        <f>D872</f>
        <v>550</v>
      </c>
      <c r="P871" s="30"/>
      <c r="Q871" s="30"/>
    </row>
    <row r="872" spans="1:17" ht="24">
      <c r="A872" s="153" t="s">
        <v>1066</v>
      </c>
      <c r="B872" s="147" t="s">
        <v>606</v>
      </c>
      <c r="C872" s="147" t="s">
        <v>529</v>
      </c>
      <c r="D872" s="158">
        <f>D873</f>
        <v>550</v>
      </c>
      <c r="P872" s="30"/>
      <c r="Q872" s="30"/>
    </row>
    <row r="873" spans="1:17" ht="15">
      <c r="A873" s="153" t="s">
        <v>591</v>
      </c>
      <c r="B873" s="147" t="s">
        <v>606</v>
      </c>
      <c r="C873" s="147" t="s">
        <v>429</v>
      </c>
      <c r="D873" s="158">
        <f>550</f>
        <v>550</v>
      </c>
      <c r="P873" s="30"/>
      <c r="Q873" s="30"/>
    </row>
    <row r="874" spans="1:17" ht="36">
      <c r="A874" s="260" t="s">
        <v>1274</v>
      </c>
      <c r="B874" s="147" t="s">
        <v>133</v>
      </c>
      <c r="C874" s="150"/>
      <c r="D874" s="158">
        <f>D875</f>
        <v>23240.9</v>
      </c>
      <c r="P874" s="30"/>
      <c r="Q874" s="30"/>
    </row>
    <row r="875" spans="1:17" ht="22.5">
      <c r="A875" s="162" t="s">
        <v>726</v>
      </c>
      <c r="B875" s="147" t="s">
        <v>134</v>
      </c>
      <c r="C875" s="147"/>
      <c r="D875" s="158">
        <f>D876</f>
        <v>23240.9</v>
      </c>
      <c r="P875" s="30"/>
      <c r="Q875" s="30"/>
    </row>
    <row r="876" spans="1:17" ht="15">
      <c r="A876" s="152" t="s">
        <v>191</v>
      </c>
      <c r="B876" s="147" t="s">
        <v>135</v>
      </c>
      <c r="C876" s="147"/>
      <c r="D876" s="158">
        <f>D877+D879</f>
        <v>23240.9</v>
      </c>
      <c r="P876" s="30"/>
      <c r="Q876" s="30"/>
    </row>
    <row r="877" spans="1:17" ht="48">
      <c r="A877" s="153" t="s">
        <v>1065</v>
      </c>
      <c r="B877" s="147" t="s">
        <v>135</v>
      </c>
      <c r="C877" s="147" t="s">
        <v>960</v>
      </c>
      <c r="D877" s="158">
        <f>D878</f>
        <v>22952.9</v>
      </c>
      <c r="P877" s="30"/>
      <c r="Q877" s="30"/>
    </row>
    <row r="878" spans="1:17" ht="24">
      <c r="A878" s="153" t="s">
        <v>515</v>
      </c>
      <c r="B878" s="147" t="s">
        <v>135</v>
      </c>
      <c r="C878" s="147" t="s">
        <v>115</v>
      </c>
      <c r="D878" s="158">
        <f>20867.9+1613+487-15</f>
        <v>22952.9</v>
      </c>
      <c r="P878" s="30"/>
      <c r="Q878" s="30"/>
    </row>
    <row r="879" spans="1:17" ht="24">
      <c r="A879" s="153" t="s">
        <v>1066</v>
      </c>
      <c r="B879" s="147" t="s">
        <v>135</v>
      </c>
      <c r="C879" s="147" t="s">
        <v>529</v>
      </c>
      <c r="D879" s="158">
        <f>D880</f>
        <v>288</v>
      </c>
      <c r="P879" s="30"/>
      <c r="Q879" s="30"/>
    </row>
    <row r="880" spans="1:17" ht="15">
      <c r="A880" s="153" t="s">
        <v>591</v>
      </c>
      <c r="B880" s="147" t="s">
        <v>135</v>
      </c>
      <c r="C880" s="147" t="s">
        <v>429</v>
      </c>
      <c r="D880" s="158">
        <f>351-78+15</f>
        <v>288</v>
      </c>
      <c r="P880" s="30"/>
      <c r="Q880" s="30"/>
    </row>
    <row r="881" spans="1:17" ht="24">
      <c r="A881" s="260" t="s">
        <v>1278</v>
      </c>
      <c r="B881" s="216" t="s">
        <v>948</v>
      </c>
      <c r="C881" s="147"/>
      <c r="D881" s="158">
        <f>D882+D886</f>
        <v>4160</v>
      </c>
      <c r="P881" s="30"/>
      <c r="Q881" s="30"/>
    </row>
    <row r="882" spans="1:17" ht="22.5">
      <c r="A882" s="162" t="s">
        <v>949</v>
      </c>
      <c r="B882" s="147" t="s">
        <v>945</v>
      </c>
      <c r="C882" s="147"/>
      <c r="D882" s="158">
        <f>D883</f>
        <v>3410</v>
      </c>
      <c r="P882" s="30"/>
      <c r="Q882" s="30"/>
    </row>
    <row r="883" spans="1:17" ht="15">
      <c r="A883" s="157" t="s">
        <v>947</v>
      </c>
      <c r="B883" s="147" t="s">
        <v>946</v>
      </c>
      <c r="C883" s="147"/>
      <c r="D883" s="158">
        <f>D884</f>
        <v>3410</v>
      </c>
      <c r="P883" s="30"/>
      <c r="Q883" s="30"/>
    </row>
    <row r="884" spans="1:17" ht="15">
      <c r="A884" s="153" t="s">
        <v>985</v>
      </c>
      <c r="B884" s="147" t="s">
        <v>946</v>
      </c>
      <c r="C884" s="147" t="s">
        <v>986</v>
      </c>
      <c r="D884" s="158">
        <f>D885</f>
        <v>3410</v>
      </c>
      <c r="P884" s="30"/>
      <c r="Q884" s="30"/>
    </row>
    <row r="885" spans="1:17" ht="15">
      <c r="A885" s="157" t="s">
        <v>929</v>
      </c>
      <c r="B885" s="147" t="s">
        <v>946</v>
      </c>
      <c r="C885" s="147" t="s">
        <v>930</v>
      </c>
      <c r="D885" s="158">
        <f>5000-780-30-210-60-60-450</f>
        <v>3410</v>
      </c>
      <c r="P885" s="30"/>
      <c r="Q885" s="30"/>
    </row>
    <row r="886" spans="1:17" ht="33.75">
      <c r="A886" s="162" t="s">
        <v>1660</v>
      </c>
      <c r="B886" s="147" t="s">
        <v>1661</v>
      </c>
      <c r="C886" s="147"/>
      <c r="D886" s="279">
        <f>D887</f>
        <v>750</v>
      </c>
      <c r="P886" s="30"/>
      <c r="Q886" s="30"/>
    </row>
    <row r="887" spans="1:17" ht="24">
      <c r="A887" s="157" t="s">
        <v>1662</v>
      </c>
      <c r="B887" s="147" t="s">
        <v>1663</v>
      </c>
      <c r="C887" s="147"/>
      <c r="D887" s="279">
        <f>D888</f>
        <v>750</v>
      </c>
      <c r="P887" s="30"/>
      <c r="Q887" s="30"/>
    </row>
    <row r="888" spans="1:17" ht="24">
      <c r="A888" s="153" t="s">
        <v>1066</v>
      </c>
      <c r="B888" s="147" t="s">
        <v>1663</v>
      </c>
      <c r="C888" s="147" t="s">
        <v>529</v>
      </c>
      <c r="D888" s="279">
        <f>D889</f>
        <v>750</v>
      </c>
      <c r="P888" s="30"/>
      <c r="Q888" s="30"/>
    </row>
    <row r="889" spans="1:17" ht="15">
      <c r="A889" s="153" t="s">
        <v>974</v>
      </c>
      <c r="B889" s="147" t="s">
        <v>1663</v>
      </c>
      <c r="C889" s="147" t="s">
        <v>429</v>
      </c>
      <c r="D889" s="158">
        <v>750</v>
      </c>
      <c r="P889" s="30"/>
      <c r="Q889" s="30"/>
    </row>
    <row r="890" spans="1:17" ht="24">
      <c r="A890" s="260" t="s">
        <v>1370</v>
      </c>
      <c r="B890" s="147" t="s">
        <v>240</v>
      </c>
      <c r="C890" s="150"/>
      <c r="D890" s="158">
        <f>D891+D909+D926</f>
        <v>305671.3</v>
      </c>
      <c r="P890" s="30"/>
      <c r="Q890" s="30"/>
    </row>
    <row r="891" spans="1:17" ht="22.5">
      <c r="A891" s="162" t="s">
        <v>726</v>
      </c>
      <c r="B891" s="147" t="s">
        <v>241</v>
      </c>
      <c r="C891" s="147"/>
      <c r="D891" s="158">
        <f>D892+D899+D904</f>
        <v>257594.19999999998</v>
      </c>
      <c r="P891" s="30"/>
      <c r="Q891" s="30"/>
    </row>
    <row r="892" spans="1:17" ht="15">
      <c r="A892" s="157" t="s">
        <v>191</v>
      </c>
      <c r="B892" s="147" t="s">
        <v>242</v>
      </c>
      <c r="C892" s="147"/>
      <c r="D892" s="158">
        <f>D893+D895+D897</f>
        <v>248306.19999999998</v>
      </c>
      <c r="P892" s="30"/>
      <c r="Q892" s="30"/>
    </row>
    <row r="893" spans="1:17" ht="48">
      <c r="A893" s="153" t="s">
        <v>1065</v>
      </c>
      <c r="B893" s="147" t="s">
        <v>242</v>
      </c>
      <c r="C893" s="147" t="s">
        <v>960</v>
      </c>
      <c r="D893" s="158">
        <f>D894</f>
        <v>220207.9</v>
      </c>
      <c r="P893" s="30"/>
      <c r="Q893" s="30"/>
    </row>
    <row r="894" spans="1:17" ht="24">
      <c r="A894" s="153" t="s">
        <v>515</v>
      </c>
      <c r="B894" s="147" t="s">
        <v>242</v>
      </c>
      <c r="C894" s="147" t="s">
        <v>115</v>
      </c>
      <c r="D894" s="158">
        <f>218524.4-193.2-34+4955.7-2338-707</f>
        <v>220207.9</v>
      </c>
      <c r="P894" s="30"/>
      <c r="Q894" s="30"/>
    </row>
    <row r="895" spans="1:17" ht="24">
      <c r="A895" s="153" t="s">
        <v>1066</v>
      </c>
      <c r="B895" s="147" t="s">
        <v>242</v>
      </c>
      <c r="C895" s="147" t="s">
        <v>529</v>
      </c>
      <c r="D895" s="158">
        <f>D896</f>
        <v>21058.3</v>
      </c>
      <c r="P895" s="30"/>
      <c r="Q895" s="30"/>
    </row>
    <row r="896" spans="1:17" ht="15">
      <c r="A896" s="153" t="s">
        <v>591</v>
      </c>
      <c r="B896" s="147" t="s">
        <v>242</v>
      </c>
      <c r="C896" s="147" t="s">
        <v>429</v>
      </c>
      <c r="D896" s="158">
        <f>14387.6-3300+88-1000+6600+585.4+3665.5+31.8</f>
        <v>21058.3</v>
      </c>
      <c r="P896" s="30"/>
      <c r="Q896" s="30"/>
    </row>
    <row r="897" spans="1:17" ht="15">
      <c r="A897" s="153" t="s">
        <v>985</v>
      </c>
      <c r="B897" s="147" t="s">
        <v>242</v>
      </c>
      <c r="C897" s="147" t="s">
        <v>986</v>
      </c>
      <c r="D897" s="158">
        <f>D898</f>
        <v>7040</v>
      </c>
      <c r="P897" s="30"/>
      <c r="Q897" s="30"/>
    </row>
    <row r="898" spans="1:17" ht="15">
      <c r="A898" s="153" t="s">
        <v>459</v>
      </c>
      <c r="B898" s="147" t="s">
        <v>242</v>
      </c>
      <c r="C898" s="147" t="s">
        <v>460</v>
      </c>
      <c r="D898" s="158">
        <f>7040</f>
        <v>7040</v>
      </c>
      <c r="P898" s="30"/>
      <c r="Q898" s="30"/>
    </row>
    <row r="899" spans="1:17" ht="60">
      <c r="A899" s="153" t="s">
        <v>941</v>
      </c>
      <c r="B899" s="147" t="s">
        <v>942</v>
      </c>
      <c r="C899" s="147"/>
      <c r="D899" s="158">
        <f>D900+D902</f>
        <v>3626</v>
      </c>
      <c r="P899" s="30"/>
      <c r="Q899" s="30"/>
    </row>
    <row r="900" spans="1:17" ht="48">
      <c r="A900" s="153" t="s">
        <v>1065</v>
      </c>
      <c r="B900" s="147" t="s">
        <v>942</v>
      </c>
      <c r="C900" s="147" t="s">
        <v>960</v>
      </c>
      <c r="D900" s="158">
        <f>D901</f>
        <v>3626</v>
      </c>
      <c r="P900" s="30"/>
      <c r="Q900" s="30"/>
    </row>
    <row r="901" spans="1:17" ht="24">
      <c r="A901" s="153" t="s">
        <v>515</v>
      </c>
      <c r="B901" s="147" t="s">
        <v>942</v>
      </c>
      <c r="C901" s="147" t="s">
        <v>115</v>
      </c>
      <c r="D901" s="158">
        <f>3136+490</f>
        <v>3626</v>
      </c>
      <c r="P901" s="30"/>
      <c r="Q901" s="30"/>
    </row>
    <row r="902" spans="1:17" ht="24">
      <c r="A902" s="153" t="s">
        <v>1066</v>
      </c>
      <c r="B902" s="147" t="s">
        <v>942</v>
      </c>
      <c r="C902" s="147" t="s">
        <v>529</v>
      </c>
      <c r="D902" s="158">
        <f>D903</f>
        <v>0</v>
      </c>
      <c r="P902" s="30"/>
      <c r="Q902" s="30"/>
    </row>
    <row r="903" spans="1:17" ht="15">
      <c r="A903" s="153" t="s">
        <v>591</v>
      </c>
      <c r="B903" s="147" t="s">
        <v>942</v>
      </c>
      <c r="C903" s="147" t="s">
        <v>429</v>
      </c>
      <c r="D903" s="158"/>
      <c r="P903" s="30"/>
      <c r="Q903" s="30"/>
    </row>
    <row r="904" spans="1:17" ht="36">
      <c r="A904" s="153" t="s">
        <v>943</v>
      </c>
      <c r="B904" s="147" t="s">
        <v>944</v>
      </c>
      <c r="C904" s="147"/>
      <c r="D904" s="158">
        <f>D905+D907</f>
        <v>5662</v>
      </c>
      <c r="P904" s="30"/>
      <c r="Q904" s="30"/>
    </row>
    <row r="905" spans="1:17" ht="48">
      <c r="A905" s="153" t="s">
        <v>1065</v>
      </c>
      <c r="B905" s="147" t="s">
        <v>944</v>
      </c>
      <c r="C905" s="147" t="s">
        <v>960</v>
      </c>
      <c r="D905" s="158">
        <f>D906</f>
        <v>5079.4</v>
      </c>
      <c r="P905" s="30"/>
      <c r="Q905" s="30"/>
    </row>
    <row r="906" spans="1:17" ht="24">
      <c r="A906" s="153" t="s">
        <v>515</v>
      </c>
      <c r="B906" s="147" t="s">
        <v>944</v>
      </c>
      <c r="C906" s="147" t="s">
        <v>115</v>
      </c>
      <c r="D906" s="158">
        <f>5079.4</f>
        <v>5079.4</v>
      </c>
      <c r="P906" s="30"/>
      <c r="Q906" s="30"/>
    </row>
    <row r="907" spans="1:17" ht="24">
      <c r="A907" s="153" t="s">
        <v>1066</v>
      </c>
      <c r="B907" s="147" t="s">
        <v>944</v>
      </c>
      <c r="C907" s="147" t="s">
        <v>529</v>
      </c>
      <c r="D907" s="158">
        <f>D908</f>
        <v>582.6</v>
      </c>
      <c r="P907" s="30"/>
      <c r="Q907" s="30"/>
    </row>
    <row r="908" spans="1:17" ht="15">
      <c r="A908" s="153" t="s">
        <v>591</v>
      </c>
      <c r="B908" s="147" t="s">
        <v>944</v>
      </c>
      <c r="C908" s="147" t="s">
        <v>429</v>
      </c>
      <c r="D908" s="158">
        <f>582.6</f>
        <v>582.6</v>
      </c>
      <c r="P908" s="30"/>
      <c r="Q908" s="30"/>
    </row>
    <row r="909" spans="1:17" ht="33.75">
      <c r="A909" s="162" t="s">
        <v>997</v>
      </c>
      <c r="B909" s="147" t="s">
        <v>998</v>
      </c>
      <c r="C909" s="147"/>
      <c r="D909" s="158">
        <f>D910+D917+D920+D923</f>
        <v>41427.100000000006</v>
      </c>
      <c r="P909" s="30"/>
      <c r="Q909" s="30"/>
    </row>
    <row r="910" spans="1:17" ht="24">
      <c r="A910" s="152" t="s">
        <v>190</v>
      </c>
      <c r="B910" s="147" t="s">
        <v>1107</v>
      </c>
      <c r="C910" s="147"/>
      <c r="D910" s="158">
        <f>D911+D913</f>
        <v>25980.300000000003</v>
      </c>
      <c r="P910" s="30"/>
      <c r="Q910" s="30"/>
    </row>
    <row r="911" spans="1:17" ht="24">
      <c r="A911" s="153" t="s">
        <v>1066</v>
      </c>
      <c r="B911" s="147" t="s">
        <v>1107</v>
      </c>
      <c r="C911" s="147" t="s">
        <v>529</v>
      </c>
      <c r="D911" s="158">
        <f>D912</f>
        <v>23709.600000000002</v>
      </c>
      <c r="P911" s="30"/>
      <c r="Q911" s="30"/>
    </row>
    <row r="912" spans="1:17" ht="15">
      <c r="A912" s="153" t="s">
        <v>974</v>
      </c>
      <c r="B912" s="147" t="s">
        <v>1107</v>
      </c>
      <c r="C912" s="147" t="s">
        <v>429</v>
      </c>
      <c r="D912" s="158">
        <f>1974+3894.5+6629.6-88+350.2+5000+100+100+300-161.9+100+50+343-315-200+73.9-30-28+285+98+4522.7+1395-127.7-42-100-413.7</f>
        <v>23709.600000000002</v>
      </c>
      <c r="P912" s="30"/>
      <c r="Q912" s="30"/>
    </row>
    <row r="913" spans="1:17" ht="15">
      <c r="A913" s="153" t="s">
        <v>985</v>
      </c>
      <c r="B913" s="147" t="s">
        <v>1107</v>
      </c>
      <c r="C913" s="147" t="s">
        <v>986</v>
      </c>
      <c r="D913" s="158">
        <f>D914+D915+D916</f>
        <v>2270.7</v>
      </c>
      <c r="P913" s="30"/>
      <c r="Q913" s="30"/>
    </row>
    <row r="914" spans="1:17" ht="15">
      <c r="A914" s="153" t="s">
        <v>972</v>
      </c>
      <c r="B914" s="147" t="s">
        <v>1107</v>
      </c>
      <c r="C914" s="147" t="s">
        <v>973</v>
      </c>
      <c r="D914" s="158">
        <f>500+315+200+28+64+127.7</f>
        <v>1234.7</v>
      </c>
      <c r="P914" s="30"/>
      <c r="Q914" s="30"/>
    </row>
    <row r="915" spans="1:17" ht="15">
      <c r="A915" s="153" t="s">
        <v>459</v>
      </c>
      <c r="B915" s="147" t="s">
        <v>1107</v>
      </c>
      <c r="C915" s="147" t="s">
        <v>460</v>
      </c>
      <c r="D915" s="158">
        <f>750+120+30-64+200</f>
        <v>1036</v>
      </c>
      <c r="P915" s="30"/>
      <c r="Q915" s="30"/>
    </row>
    <row r="916" spans="1:17" ht="15">
      <c r="A916" s="152" t="s">
        <v>987</v>
      </c>
      <c r="B916" s="147" t="s">
        <v>1107</v>
      </c>
      <c r="C916" s="147" t="s">
        <v>988</v>
      </c>
      <c r="D916" s="158"/>
      <c r="P916" s="30"/>
      <c r="Q916" s="30"/>
    </row>
    <row r="917" spans="1:17" ht="15">
      <c r="A917" s="152" t="s">
        <v>1353</v>
      </c>
      <c r="B917" s="147" t="s">
        <v>1282</v>
      </c>
      <c r="C917" s="147"/>
      <c r="D917" s="158">
        <f>D918</f>
        <v>1020.8</v>
      </c>
      <c r="P917" s="30"/>
      <c r="Q917" s="30"/>
    </row>
    <row r="918" spans="1:17" ht="15">
      <c r="A918" s="153" t="s">
        <v>985</v>
      </c>
      <c r="B918" s="147" t="s">
        <v>1282</v>
      </c>
      <c r="C918" s="147" t="s">
        <v>986</v>
      </c>
      <c r="D918" s="158">
        <f>D919</f>
        <v>1020.8</v>
      </c>
      <c r="P918" s="30"/>
      <c r="Q918" s="30"/>
    </row>
    <row r="919" spans="1:17" ht="15">
      <c r="A919" s="152" t="s">
        <v>987</v>
      </c>
      <c r="B919" s="147" t="s">
        <v>1282</v>
      </c>
      <c r="C919" s="147" t="s">
        <v>988</v>
      </c>
      <c r="D919" s="158">
        <f>792+260.6-31.8</f>
        <v>1020.8</v>
      </c>
      <c r="P919" s="30"/>
      <c r="Q919" s="30"/>
    </row>
    <row r="920" spans="1:17" ht="15">
      <c r="A920" s="152" t="s">
        <v>1283</v>
      </c>
      <c r="B920" s="147" t="s">
        <v>1284</v>
      </c>
      <c r="C920" s="147"/>
      <c r="D920" s="158">
        <f>D921</f>
        <v>200</v>
      </c>
      <c r="P920" s="30"/>
      <c r="Q920" s="30"/>
    </row>
    <row r="921" spans="1:17" ht="15">
      <c r="A921" s="153" t="s">
        <v>985</v>
      </c>
      <c r="B921" s="147" t="s">
        <v>1284</v>
      </c>
      <c r="C921" s="147" t="s">
        <v>986</v>
      </c>
      <c r="D921" s="158">
        <f>D922</f>
        <v>200</v>
      </c>
      <c r="P921" s="30"/>
      <c r="Q921" s="30"/>
    </row>
    <row r="922" spans="1:17" ht="15">
      <c r="A922" s="152" t="s">
        <v>987</v>
      </c>
      <c r="B922" s="147" t="s">
        <v>1284</v>
      </c>
      <c r="C922" s="147" t="s">
        <v>988</v>
      </c>
      <c r="D922" s="158">
        <v>200</v>
      </c>
      <c r="P922" s="30"/>
      <c r="Q922" s="30"/>
    </row>
    <row r="923" spans="1:17" ht="36">
      <c r="A923" s="152" t="s">
        <v>1285</v>
      </c>
      <c r="B923" s="147" t="s">
        <v>1286</v>
      </c>
      <c r="C923" s="147"/>
      <c r="D923" s="158">
        <f>D925</f>
        <v>14226</v>
      </c>
      <c r="P923" s="30"/>
      <c r="Q923" s="30"/>
    </row>
    <row r="924" spans="1:17" ht="15">
      <c r="A924" s="153" t="s">
        <v>985</v>
      </c>
      <c r="B924" s="147" t="s">
        <v>1286</v>
      </c>
      <c r="C924" s="147" t="s">
        <v>986</v>
      </c>
      <c r="D924" s="158">
        <f>D925</f>
        <v>14226</v>
      </c>
      <c r="P924" s="30"/>
      <c r="Q924" s="30"/>
    </row>
    <row r="925" spans="1:17" ht="15">
      <c r="A925" s="152" t="s">
        <v>987</v>
      </c>
      <c r="B925" s="147" t="s">
        <v>1286</v>
      </c>
      <c r="C925" s="147" t="s">
        <v>988</v>
      </c>
      <c r="D925" s="158">
        <v>14226</v>
      </c>
      <c r="P925" s="30"/>
      <c r="Q925" s="30"/>
    </row>
    <row r="926" spans="1:17" ht="22.5">
      <c r="A926" s="162" t="s">
        <v>1352</v>
      </c>
      <c r="B926" s="147" t="s">
        <v>1507</v>
      </c>
      <c r="C926" s="147"/>
      <c r="D926" s="158">
        <f>D927</f>
        <v>6650</v>
      </c>
      <c r="P926" s="30"/>
      <c r="Q926" s="30"/>
    </row>
    <row r="927" spans="1:17" ht="15">
      <c r="A927" s="152" t="s">
        <v>400</v>
      </c>
      <c r="B927" s="147" t="s">
        <v>1508</v>
      </c>
      <c r="C927" s="147"/>
      <c r="D927" s="158">
        <f>D928</f>
        <v>6650</v>
      </c>
      <c r="P927" s="30"/>
      <c r="Q927" s="30"/>
    </row>
    <row r="928" spans="1:17" ht="15">
      <c r="A928" s="153" t="s">
        <v>985</v>
      </c>
      <c r="B928" s="147" t="s">
        <v>1508</v>
      </c>
      <c r="C928" s="147" t="s">
        <v>986</v>
      </c>
      <c r="D928" s="158">
        <f>D929</f>
        <v>6650</v>
      </c>
      <c r="P928" s="30"/>
      <c r="Q928" s="30"/>
    </row>
    <row r="929" spans="1:17" ht="15">
      <c r="A929" s="152" t="s">
        <v>987</v>
      </c>
      <c r="B929" s="147" t="s">
        <v>1508</v>
      </c>
      <c r="C929" s="147" t="s">
        <v>988</v>
      </c>
      <c r="D929" s="158">
        <f>6500-300+450</f>
        <v>6650</v>
      </c>
      <c r="P929" s="30"/>
      <c r="Q929" s="30"/>
    </row>
    <row r="930" spans="1:17" ht="36">
      <c r="A930" s="260" t="s">
        <v>1287</v>
      </c>
      <c r="B930" s="147" t="s">
        <v>379</v>
      </c>
      <c r="C930" s="150"/>
      <c r="D930" s="158">
        <f>D931</f>
        <v>4462.400000000001</v>
      </c>
      <c r="P930" s="30"/>
      <c r="Q930" s="30"/>
    </row>
    <row r="931" spans="1:17" ht="24">
      <c r="A931" s="239" t="s">
        <v>840</v>
      </c>
      <c r="B931" s="147" t="s">
        <v>380</v>
      </c>
      <c r="C931" s="147"/>
      <c r="D931" s="158">
        <f>D932</f>
        <v>4462.400000000001</v>
      </c>
      <c r="P931" s="30"/>
      <c r="Q931" s="30"/>
    </row>
    <row r="932" spans="1:17" ht="15">
      <c r="A932" s="153" t="s">
        <v>841</v>
      </c>
      <c r="B932" s="147" t="s">
        <v>381</v>
      </c>
      <c r="C932" s="147"/>
      <c r="D932" s="158">
        <f>D933+D935+D937</f>
        <v>4462.400000000001</v>
      </c>
      <c r="P932" s="30"/>
      <c r="Q932" s="30"/>
    </row>
    <row r="933" spans="1:17" ht="48">
      <c r="A933" s="153" t="s">
        <v>1065</v>
      </c>
      <c r="B933" s="147" t="s">
        <v>381</v>
      </c>
      <c r="C933" s="147" t="s">
        <v>960</v>
      </c>
      <c r="D933" s="158">
        <f>D934</f>
        <v>3141</v>
      </c>
      <c r="P933" s="30"/>
      <c r="Q933" s="30"/>
    </row>
    <row r="934" spans="1:17" ht="15">
      <c r="A934" s="152" t="s">
        <v>1165</v>
      </c>
      <c r="B934" s="147" t="s">
        <v>381</v>
      </c>
      <c r="C934" s="147" t="s">
        <v>1166</v>
      </c>
      <c r="D934" s="158">
        <f>3778.6-637.6</f>
        <v>3141</v>
      </c>
      <c r="P934" s="30"/>
      <c r="Q934" s="30"/>
    </row>
    <row r="935" spans="1:17" ht="24">
      <c r="A935" s="153" t="s">
        <v>1066</v>
      </c>
      <c r="B935" s="147" t="s">
        <v>381</v>
      </c>
      <c r="C935" s="147" t="s">
        <v>529</v>
      </c>
      <c r="D935" s="158">
        <f>D936</f>
        <v>371.8</v>
      </c>
      <c r="P935" s="30"/>
      <c r="Q935" s="30"/>
    </row>
    <row r="936" spans="1:17" ht="15">
      <c r="A936" s="153" t="s">
        <v>591</v>
      </c>
      <c r="B936" s="147" t="s">
        <v>381</v>
      </c>
      <c r="C936" s="147" t="s">
        <v>429</v>
      </c>
      <c r="D936" s="158">
        <f>375.3-3-0.5</f>
        <v>371.8</v>
      </c>
      <c r="P936" s="30"/>
      <c r="Q936" s="30"/>
    </row>
    <row r="937" spans="1:17" ht="15">
      <c r="A937" s="153" t="s">
        <v>985</v>
      </c>
      <c r="B937" s="147" t="s">
        <v>381</v>
      </c>
      <c r="C937" s="147" t="s">
        <v>986</v>
      </c>
      <c r="D937" s="158">
        <f>D939+D938</f>
        <v>949.6</v>
      </c>
      <c r="P937" s="30"/>
      <c r="Q937" s="30"/>
    </row>
    <row r="938" spans="1:17" ht="15">
      <c r="A938" s="153" t="s">
        <v>972</v>
      </c>
      <c r="B938" s="147" t="s">
        <v>381</v>
      </c>
      <c r="C938" s="147" t="s">
        <v>973</v>
      </c>
      <c r="D938" s="158">
        <f>32.5+533.5</f>
        <v>566</v>
      </c>
      <c r="P938" s="30"/>
      <c r="Q938" s="30"/>
    </row>
    <row r="939" spans="1:17" ht="15">
      <c r="A939" s="153" t="s">
        <v>459</v>
      </c>
      <c r="B939" s="147" t="s">
        <v>381</v>
      </c>
      <c r="C939" s="147" t="s">
        <v>460</v>
      </c>
      <c r="D939" s="158">
        <f>416.1-32.5</f>
        <v>383.6</v>
      </c>
      <c r="P939" s="30"/>
      <c r="Q939" s="30"/>
    </row>
    <row r="940" spans="1:17" ht="15">
      <c r="A940" s="260" t="s">
        <v>1272</v>
      </c>
      <c r="B940" s="147" t="s">
        <v>128</v>
      </c>
      <c r="C940" s="150"/>
      <c r="D940" s="158">
        <f>D941</f>
        <v>3441</v>
      </c>
      <c r="P940" s="30"/>
      <c r="Q940" s="30"/>
    </row>
    <row r="941" spans="1:17" ht="22.5">
      <c r="A941" s="162" t="s">
        <v>131</v>
      </c>
      <c r="B941" s="147" t="s">
        <v>132</v>
      </c>
      <c r="C941" s="147"/>
      <c r="D941" s="158">
        <f>D942</f>
        <v>3441</v>
      </c>
      <c r="P941" s="30"/>
      <c r="Q941" s="30"/>
    </row>
    <row r="942" spans="1:17" ht="48">
      <c r="A942" s="152" t="s">
        <v>127</v>
      </c>
      <c r="B942" s="147" t="s">
        <v>129</v>
      </c>
      <c r="C942" s="147"/>
      <c r="D942" s="158">
        <f>D943+D945</f>
        <v>3441</v>
      </c>
      <c r="P942" s="30"/>
      <c r="Q942" s="30"/>
    </row>
    <row r="943" spans="1:17" ht="48">
      <c r="A943" s="153" t="s">
        <v>1065</v>
      </c>
      <c r="B943" s="147" t="s">
        <v>129</v>
      </c>
      <c r="C943" s="147" t="s">
        <v>960</v>
      </c>
      <c r="D943" s="158">
        <f>D944</f>
        <v>3441</v>
      </c>
      <c r="P943" s="30"/>
      <c r="Q943" s="30"/>
    </row>
    <row r="944" spans="1:17" ht="24">
      <c r="A944" s="153" t="s">
        <v>515</v>
      </c>
      <c r="B944" s="147" t="s">
        <v>129</v>
      </c>
      <c r="C944" s="147" t="s">
        <v>115</v>
      </c>
      <c r="D944" s="158">
        <f>2821+475.9+144.1</f>
        <v>3441</v>
      </c>
      <c r="P944" s="30"/>
      <c r="Q944" s="30"/>
    </row>
    <row r="945" spans="1:17" ht="24">
      <c r="A945" s="153" t="s">
        <v>1066</v>
      </c>
      <c r="B945" s="147" t="s">
        <v>129</v>
      </c>
      <c r="C945" s="147" t="s">
        <v>529</v>
      </c>
      <c r="D945" s="158">
        <f>D946</f>
        <v>0</v>
      </c>
      <c r="P945" s="30"/>
      <c r="Q945" s="30"/>
    </row>
    <row r="946" spans="1:17" ht="15">
      <c r="A946" s="157" t="s">
        <v>546</v>
      </c>
      <c r="B946" s="147" t="s">
        <v>129</v>
      </c>
      <c r="C946" s="147" t="s">
        <v>429</v>
      </c>
      <c r="D946" s="158">
        <f>741.7-741.7</f>
        <v>0</v>
      </c>
      <c r="P946" s="30"/>
      <c r="Q946" s="30"/>
    </row>
    <row r="947" spans="1:17" ht="24">
      <c r="A947" s="260" t="s">
        <v>1288</v>
      </c>
      <c r="B947" s="147" t="s">
        <v>842</v>
      </c>
      <c r="C947" s="150"/>
      <c r="D947" s="158">
        <f>D948</f>
        <v>7702</v>
      </c>
      <c r="P947" s="30"/>
      <c r="Q947" s="30"/>
    </row>
    <row r="948" spans="1:17" ht="24">
      <c r="A948" s="239" t="s">
        <v>840</v>
      </c>
      <c r="B948" s="147" t="s">
        <v>843</v>
      </c>
      <c r="C948" s="147"/>
      <c r="D948" s="158">
        <f>D949</f>
        <v>7702</v>
      </c>
      <c r="P948" s="30"/>
      <c r="Q948" s="30"/>
    </row>
    <row r="949" spans="1:17" ht="15">
      <c r="A949" s="153" t="s">
        <v>841</v>
      </c>
      <c r="B949" s="147" t="s">
        <v>844</v>
      </c>
      <c r="C949" s="147"/>
      <c r="D949" s="158">
        <f>D950+D952+D954</f>
        <v>7702</v>
      </c>
      <c r="P949" s="30"/>
      <c r="Q949" s="30"/>
    </row>
    <row r="950" spans="1:17" ht="48">
      <c r="A950" s="153" t="s">
        <v>1065</v>
      </c>
      <c r="B950" s="147" t="s">
        <v>844</v>
      </c>
      <c r="C950" s="147" t="s">
        <v>960</v>
      </c>
      <c r="D950" s="158">
        <f>D951</f>
        <v>6821</v>
      </c>
      <c r="P950" s="30"/>
      <c r="Q950" s="30"/>
    </row>
    <row r="951" spans="1:17" ht="15">
      <c r="A951" s="152" t="s">
        <v>1165</v>
      </c>
      <c r="B951" s="147" t="s">
        <v>844</v>
      </c>
      <c r="C951" s="147" t="s">
        <v>1166</v>
      </c>
      <c r="D951" s="158">
        <v>6821</v>
      </c>
      <c r="P951" s="30"/>
      <c r="Q951" s="30"/>
    </row>
    <row r="952" spans="1:17" ht="24">
      <c r="A952" s="153" t="s">
        <v>1066</v>
      </c>
      <c r="B952" s="147" t="s">
        <v>844</v>
      </c>
      <c r="C952" s="147" t="s">
        <v>529</v>
      </c>
      <c r="D952" s="158">
        <f>D953</f>
        <v>871</v>
      </c>
      <c r="P952" s="30"/>
      <c r="Q952" s="30"/>
    </row>
    <row r="953" spans="1:17" ht="15">
      <c r="A953" s="153" t="s">
        <v>974</v>
      </c>
      <c r="B953" s="147" t="s">
        <v>844</v>
      </c>
      <c r="C953" s="147" t="s">
        <v>429</v>
      </c>
      <c r="D953" s="158">
        <v>871</v>
      </c>
      <c r="P953" s="30"/>
      <c r="Q953" s="30"/>
    </row>
    <row r="954" spans="1:17" ht="15">
      <c r="A954" s="153" t="s">
        <v>985</v>
      </c>
      <c r="B954" s="147" t="s">
        <v>844</v>
      </c>
      <c r="C954" s="147" t="s">
        <v>986</v>
      </c>
      <c r="D954" s="158">
        <f>D955</f>
        <v>10</v>
      </c>
      <c r="P954" s="30"/>
      <c r="Q954" s="30"/>
    </row>
    <row r="955" spans="1:17" ht="15">
      <c r="A955" s="153" t="s">
        <v>459</v>
      </c>
      <c r="B955" s="147" t="s">
        <v>844</v>
      </c>
      <c r="C955" s="147" t="s">
        <v>460</v>
      </c>
      <c r="D955" s="158">
        <f>10</f>
        <v>10</v>
      </c>
      <c r="P955" s="30"/>
      <c r="Q955" s="30"/>
    </row>
    <row r="956" spans="1:17" ht="36">
      <c r="A956" s="260" t="s">
        <v>1289</v>
      </c>
      <c r="B956" s="147" t="s">
        <v>723</v>
      </c>
      <c r="C956" s="150"/>
      <c r="D956" s="158">
        <f>D957</f>
        <v>33800.5</v>
      </c>
      <c r="P956" s="30"/>
      <c r="Q956" s="30"/>
    </row>
    <row r="957" spans="1:17" ht="22.5">
      <c r="A957" s="162" t="s">
        <v>726</v>
      </c>
      <c r="B957" s="147" t="s">
        <v>724</v>
      </c>
      <c r="C957" s="147"/>
      <c r="D957" s="158">
        <f>D958</f>
        <v>33800.5</v>
      </c>
      <c r="P957" s="30"/>
      <c r="Q957" s="30"/>
    </row>
    <row r="958" spans="1:17" ht="15">
      <c r="A958" s="157" t="s">
        <v>191</v>
      </c>
      <c r="B958" s="147" t="s">
        <v>725</v>
      </c>
      <c r="C958" s="147"/>
      <c r="D958" s="158">
        <f>D959+D961+D963</f>
        <v>33800.5</v>
      </c>
      <c r="P958" s="30"/>
      <c r="Q958" s="30"/>
    </row>
    <row r="959" spans="1:17" ht="48">
      <c r="A959" s="153" t="s">
        <v>1065</v>
      </c>
      <c r="B959" s="147" t="s">
        <v>725</v>
      </c>
      <c r="C959" s="147" t="s">
        <v>960</v>
      </c>
      <c r="D959" s="158">
        <f>D960</f>
        <v>26714.6</v>
      </c>
      <c r="P959" s="30"/>
      <c r="Q959" s="30"/>
    </row>
    <row r="960" spans="1:17" ht="24">
      <c r="A960" s="153" t="s">
        <v>515</v>
      </c>
      <c r="B960" s="147" t="s">
        <v>725</v>
      </c>
      <c r="C960" s="147" t="s">
        <v>115</v>
      </c>
      <c r="D960" s="158">
        <f>26707.6+7</f>
        <v>26714.6</v>
      </c>
      <c r="P960" s="30"/>
      <c r="Q960" s="30"/>
    </row>
    <row r="961" spans="1:17" ht="24">
      <c r="A961" s="153" t="s">
        <v>1066</v>
      </c>
      <c r="B961" s="147" t="s">
        <v>725</v>
      </c>
      <c r="C961" s="147" t="s">
        <v>529</v>
      </c>
      <c r="D961" s="158">
        <f>D962</f>
        <v>3984.7</v>
      </c>
      <c r="P961" s="30"/>
      <c r="Q961" s="30"/>
    </row>
    <row r="962" spans="1:17" ht="15">
      <c r="A962" s="153" t="s">
        <v>974</v>
      </c>
      <c r="B962" s="147" t="s">
        <v>725</v>
      </c>
      <c r="C962" s="147" t="s">
        <v>429</v>
      </c>
      <c r="D962" s="158">
        <f>4300.2-7-250+250-200-108.5</f>
        <v>3984.7</v>
      </c>
      <c r="P962" s="30"/>
      <c r="Q962" s="30"/>
    </row>
    <row r="963" spans="1:17" ht="15">
      <c r="A963" s="153" t="s">
        <v>985</v>
      </c>
      <c r="B963" s="147" t="s">
        <v>725</v>
      </c>
      <c r="C963" s="147" t="s">
        <v>986</v>
      </c>
      <c r="D963" s="158">
        <f>D964</f>
        <v>3101.2</v>
      </c>
      <c r="P963" s="30"/>
      <c r="Q963" s="30"/>
    </row>
    <row r="964" spans="1:17" ht="15">
      <c r="A964" s="153" t="s">
        <v>459</v>
      </c>
      <c r="B964" s="147" t="s">
        <v>725</v>
      </c>
      <c r="C964" s="147" t="s">
        <v>460</v>
      </c>
      <c r="D964" s="158">
        <f>3101.2</f>
        <v>3101.2</v>
      </c>
      <c r="P964" s="30"/>
      <c r="Q964" s="30"/>
    </row>
    <row r="965" spans="1:17" ht="84">
      <c r="A965" s="260" t="s">
        <v>1290</v>
      </c>
      <c r="B965" s="147" t="s">
        <v>728</v>
      </c>
      <c r="C965" s="150"/>
      <c r="D965" s="158">
        <f>D966+D973+D982+D991+D999</f>
        <v>303277.3</v>
      </c>
      <c r="P965" s="30"/>
      <c r="Q965" s="30"/>
    </row>
    <row r="966" spans="1:17" ht="15">
      <c r="A966" s="162" t="s">
        <v>727</v>
      </c>
      <c r="B966" s="147" t="s">
        <v>789</v>
      </c>
      <c r="C966" s="147"/>
      <c r="D966" s="158">
        <f>D967+D970</f>
        <v>204.7</v>
      </c>
      <c r="P966" s="30"/>
      <c r="Q966" s="30"/>
    </row>
    <row r="967" spans="1:17" ht="24">
      <c r="A967" s="152" t="s">
        <v>45</v>
      </c>
      <c r="B967" s="147" t="s">
        <v>1100</v>
      </c>
      <c r="C967" s="147"/>
      <c r="D967" s="158">
        <f>D968</f>
        <v>149.7</v>
      </c>
      <c r="P967" s="30"/>
      <c r="Q967" s="30"/>
    </row>
    <row r="968" spans="1:17" ht="24">
      <c r="A968" s="153" t="s">
        <v>1066</v>
      </c>
      <c r="B968" s="147" t="s">
        <v>1100</v>
      </c>
      <c r="C968" s="147" t="s">
        <v>529</v>
      </c>
      <c r="D968" s="158">
        <f>D969</f>
        <v>149.7</v>
      </c>
      <c r="P968" s="30"/>
      <c r="Q968" s="30"/>
    </row>
    <row r="969" spans="1:17" ht="15">
      <c r="A969" s="153" t="s">
        <v>974</v>
      </c>
      <c r="B969" s="147" t="s">
        <v>1100</v>
      </c>
      <c r="C969" s="147" t="s">
        <v>429</v>
      </c>
      <c r="D969" s="158">
        <f>425-275.3</f>
        <v>149.7</v>
      </c>
      <c r="P969" s="30"/>
      <c r="Q969" s="30"/>
    </row>
    <row r="970" spans="1:17" ht="15">
      <c r="A970" s="15" t="s">
        <v>1057</v>
      </c>
      <c r="B970" s="147" t="s">
        <v>1103</v>
      </c>
      <c r="C970" s="170"/>
      <c r="D970" s="158">
        <f>D971</f>
        <v>55</v>
      </c>
      <c r="P970" s="30"/>
      <c r="Q970" s="30"/>
    </row>
    <row r="971" spans="1:17" ht="24">
      <c r="A971" s="153" t="s">
        <v>1066</v>
      </c>
      <c r="B971" s="147" t="s">
        <v>1103</v>
      </c>
      <c r="C971" s="170" t="s">
        <v>529</v>
      </c>
      <c r="D971" s="158">
        <f>D972</f>
        <v>55</v>
      </c>
      <c r="P971" s="30"/>
      <c r="Q971" s="30"/>
    </row>
    <row r="972" spans="1:17" ht="15">
      <c r="A972" s="153" t="s">
        <v>591</v>
      </c>
      <c r="B972" s="147" t="s">
        <v>1103</v>
      </c>
      <c r="C972" s="170" t="s">
        <v>429</v>
      </c>
      <c r="D972" s="158">
        <f>125-70</f>
        <v>55</v>
      </c>
      <c r="P972" s="30"/>
      <c r="Q972" s="30"/>
    </row>
    <row r="973" spans="1:17" ht="35.25">
      <c r="A973" s="239" t="s">
        <v>732</v>
      </c>
      <c r="B973" s="147" t="s">
        <v>729</v>
      </c>
      <c r="C973" s="147"/>
      <c r="D973" s="158">
        <f>D974+D979</f>
        <v>272578.89999999997</v>
      </c>
      <c r="P973" s="30"/>
      <c r="Q973" s="30"/>
    </row>
    <row r="974" spans="1:17" ht="24">
      <c r="A974" s="153" t="s">
        <v>46</v>
      </c>
      <c r="B974" s="147" t="s">
        <v>790</v>
      </c>
      <c r="C974" s="147"/>
      <c r="D974" s="158">
        <f>D975+D977</f>
        <v>260930.89999999997</v>
      </c>
      <c r="P974" s="30"/>
      <c r="Q974" s="30"/>
    </row>
    <row r="975" spans="1:17" ht="24">
      <c r="A975" s="153" t="s">
        <v>1066</v>
      </c>
      <c r="B975" s="147" t="s">
        <v>790</v>
      </c>
      <c r="C975" s="147" t="s">
        <v>529</v>
      </c>
      <c r="D975" s="158">
        <f>D976</f>
        <v>260830.89999999997</v>
      </c>
      <c r="P975" s="30"/>
      <c r="Q975" s="30"/>
    </row>
    <row r="976" spans="1:17" ht="15">
      <c r="A976" s="153" t="s">
        <v>974</v>
      </c>
      <c r="B976" s="147" t="s">
        <v>790</v>
      </c>
      <c r="C976" s="147" t="s">
        <v>429</v>
      </c>
      <c r="D976" s="158">
        <f>14606.9+62000+210+6400+5000+5295.4-250+1720.3+1118.7+840+8000+4400+30000+480.5+2102+982.5-639+38014+6975+12215.3+433.3+948+57000+1250-2750+4578-100</f>
        <v>260830.89999999997</v>
      </c>
      <c r="P976" s="30"/>
      <c r="Q976" s="30"/>
    </row>
    <row r="977" spans="1:17" ht="15">
      <c r="A977" s="153" t="s">
        <v>985</v>
      </c>
      <c r="B977" s="147" t="s">
        <v>790</v>
      </c>
      <c r="C977" s="147" t="s">
        <v>986</v>
      </c>
      <c r="D977" s="158">
        <f>D978</f>
        <v>100</v>
      </c>
      <c r="P977" s="30"/>
      <c r="Q977" s="30"/>
    </row>
    <row r="978" spans="1:17" ht="15">
      <c r="A978" s="153" t="s">
        <v>459</v>
      </c>
      <c r="B978" s="147" t="s">
        <v>790</v>
      </c>
      <c r="C978" s="147" t="s">
        <v>460</v>
      </c>
      <c r="D978" s="158">
        <f>100</f>
        <v>100</v>
      </c>
      <c r="P978" s="30"/>
      <c r="Q978" s="30"/>
    </row>
    <row r="979" spans="1:17" ht="24">
      <c r="A979" s="153" t="s">
        <v>626</v>
      </c>
      <c r="B979" s="147" t="s">
        <v>791</v>
      </c>
      <c r="C979" s="170"/>
      <c r="D979" s="158">
        <f>D980</f>
        <v>11648</v>
      </c>
      <c r="P979" s="30"/>
      <c r="Q979" s="30"/>
    </row>
    <row r="980" spans="1:17" ht="24">
      <c r="A980" s="153" t="s">
        <v>1066</v>
      </c>
      <c r="B980" s="147" t="s">
        <v>791</v>
      </c>
      <c r="C980" s="170" t="s">
        <v>529</v>
      </c>
      <c r="D980" s="158">
        <f>D981</f>
        <v>11648</v>
      </c>
      <c r="P980" s="30"/>
      <c r="Q980" s="30"/>
    </row>
    <row r="981" spans="1:17" ht="15">
      <c r="A981" s="153" t="s">
        <v>591</v>
      </c>
      <c r="B981" s="147" t="s">
        <v>791</v>
      </c>
      <c r="C981" s="170" t="s">
        <v>429</v>
      </c>
      <c r="D981" s="158">
        <f>9237.1+355.1+6.9+28.9+5+2015</f>
        <v>11648</v>
      </c>
      <c r="P981" s="30"/>
      <c r="Q981" s="30"/>
    </row>
    <row r="982" spans="1:17" ht="24">
      <c r="A982" s="239" t="s">
        <v>731</v>
      </c>
      <c r="B982" s="147" t="s">
        <v>1179</v>
      </c>
      <c r="C982" s="147"/>
      <c r="D982" s="158">
        <f>D983+D988</f>
        <v>6507.7</v>
      </c>
      <c r="P982" s="30"/>
      <c r="Q982" s="30"/>
    </row>
    <row r="983" spans="1:17" ht="36">
      <c r="A983" s="152" t="s">
        <v>624</v>
      </c>
      <c r="B983" s="147" t="s">
        <v>1101</v>
      </c>
      <c r="C983" s="147"/>
      <c r="D983" s="158">
        <f>D984+D986</f>
        <v>3507.7</v>
      </c>
      <c r="P983" s="30"/>
      <c r="Q983" s="30"/>
    </row>
    <row r="984" spans="1:17" ht="24">
      <c r="A984" s="153" t="s">
        <v>1066</v>
      </c>
      <c r="B984" s="147" t="s">
        <v>1101</v>
      </c>
      <c r="C984" s="147" t="s">
        <v>529</v>
      </c>
      <c r="D984" s="158">
        <f>D985</f>
        <v>3507.7</v>
      </c>
      <c r="P984" s="30"/>
      <c r="Q984" s="30"/>
    </row>
    <row r="985" spans="1:17" ht="15">
      <c r="A985" s="153" t="s">
        <v>974</v>
      </c>
      <c r="B985" s="147" t="s">
        <v>1101</v>
      </c>
      <c r="C985" s="147" t="s">
        <v>429</v>
      </c>
      <c r="D985" s="158">
        <f>5542.2+250-369.5-1915</f>
        <v>3507.7</v>
      </c>
      <c r="P985" s="30"/>
      <c r="Q985" s="30"/>
    </row>
    <row r="986" spans="1:17" ht="24">
      <c r="A986" s="153" t="s">
        <v>823</v>
      </c>
      <c r="B986" s="147" t="s">
        <v>1101</v>
      </c>
      <c r="C986" s="147" t="s">
        <v>1167</v>
      </c>
      <c r="D986" s="158">
        <f>D987</f>
        <v>0</v>
      </c>
      <c r="P986" s="30"/>
      <c r="Q986" s="30"/>
    </row>
    <row r="987" spans="1:17" ht="15">
      <c r="A987" s="153" t="s">
        <v>824</v>
      </c>
      <c r="B987" s="147" t="s">
        <v>1101</v>
      </c>
      <c r="C987" s="147" t="s">
        <v>825</v>
      </c>
      <c r="D987" s="158"/>
      <c r="P987" s="30"/>
      <c r="Q987" s="30"/>
    </row>
    <row r="988" spans="1:17" ht="15">
      <c r="A988" s="15" t="s">
        <v>1057</v>
      </c>
      <c r="B988" s="147" t="s">
        <v>1102</v>
      </c>
      <c r="C988" s="170"/>
      <c r="D988" s="158">
        <f>D989</f>
        <v>3000</v>
      </c>
      <c r="P988" s="30"/>
      <c r="Q988" s="30"/>
    </row>
    <row r="989" spans="1:17" ht="24">
      <c r="A989" s="153" t="s">
        <v>1066</v>
      </c>
      <c r="B989" s="147" t="s">
        <v>1102</v>
      </c>
      <c r="C989" s="170" t="s">
        <v>529</v>
      </c>
      <c r="D989" s="158">
        <f>D990</f>
        <v>3000</v>
      </c>
      <c r="P989" s="30"/>
      <c r="Q989" s="30"/>
    </row>
    <row r="990" spans="1:17" ht="15">
      <c r="A990" s="153" t="s">
        <v>591</v>
      </c>
      <c r="B990" s="147" t="s">
        <v>1102</v>
      </c>
      <c r="C990" s="170" t="s">
        <v>429</v>
      </c>
      <c r="D990" s="158">
        <f>3000+2424-2424</f>
        <v>3000</v>
      </c>
      <c r="P990" s="30"/>
      <c r="Q990" s="30"/>
    </row>
    <row r="991" spans="1:17" ht="24">
      <c r="A991" s="239" t="s">
        <v>840</v>
      </c>
      <c r="B991" s="147" t="s">
        <v>1200</v>
      </c>
      <c r="C991" s="147"/>
      <c r="D991" s="158">
        <f>D992</f>
        <v>13500</v>
      </c>
      <c r="P991" s="30"/>
      <c r="Q991" s="30"/>
    </row>
    <row r="992" spans="1:17" ht="15">
      <c r="A992" s="153" t="s">
        <v>841</v>
      </c>
      <c r="B992" s="147" t="s">
        <v>1444</v>
      </c>
      <c r="C992" s="147"/>
      <c r="D992" s="280">
        <f>D993+D995+D997</f>
        <v>13500</v>
      </c>
      <c r="P992" s="30"/>
      <c r="Q992" s="30"/>
    </row>
    <row r="993" spans="1:17" ht="48">
      <c r="A993" s="153" t="s">
        <v>1065</v>
      </c>
      <c r="B993" s="147" t="s">
        <v>1444</v>
      </c>
      <c r="C993" s="147" t="s">
        <v>960</v>
      </c>
      <c r="D993" s="280">
        <f>D994</f>
        <v>12922.9</v>
      </c>
      <c r="P993" s="30"/>
      <c r="Q993" s="30"/>
    </row>
    <row r="994" spans="1:17" ht="15">
      <c r="A994" s="152" t="s">
        <v>1165</v>
      </c>
      <c r="B994" s="147" t="s">
        <v>1444</v>
      </c>
      <c r="C994" s="147" t="s">
        <v>1166</v>
      </c>
      <c r="D994" s="280">
        <f>9925.4+2997.5</f>
        <v>12922.9</v>
      </c>
      <c r="P994" s="30"/>
      <c r="Q994" s="30"/>
    </row>
    <row r="995" spans="1:17" ht="15">
      <c r="A995" s="153" t="s">
        <v>974</v>
      </c>
      <c r="B995" s="147" t="s">
        <v>1444</v>
      </c>
      <c r="C995" s="147" t="s">
        <v>529</v>
      </c>
      <c r="D995" s="280">
        <f>D996</f>
        <v>561</v>
      </c>
      <c r="P995" s="30"/>
      <c r="Q995" s="30"/>
    </row>
    <row r="996" spans="1:17" ht="24">
      <c r="A996" s="153" t="s">
        <v>1066</v>
      </c>
      <c r="B996" s="147" t="s">
        <v>1444</v>
      </c>
      <c r="C996" s="147" t="s">
        <v>429</v>
      </c>
      <c r="D996" s="158">
        <f>577.1-16.1+2000-2000</f>
        <v>561</v>
      </c>
      <c r="P996" s="30"/>
      <c r="Q996" s="30"/>
    </row>
    <row r="997" spans="1:17" ht="15">
      <c r="A997" s="153" t="s">
        <v>985</v>
      </c>
      <c r="B997" s="147" t="s">
        <v>1444</v>
      </c>
      <c r="C997" s="147" t="s">
        <v>986</v>
      </c>
      <c r="D997" s="158">
        <f>D998</f>
        <v>16.1</v>
      </c>
      <c r="P997" s="30"/>
      <c r="Q997" s="30"/>
    </row>
    <row r="998" spans="1:17" ht="15">
      <c r="A998" s="153" t="s">
        <v>459</v>
      </c>
      <c r="B998" s="147" t="s">
        <v>1444</v>
      </c>
      <c r="C998" s="147" t="s">
        <v>460</v>
      </c>
      <c r="D998" s="158">
        <f>16.1</f>
        <v>16.1</v>
      </c>
      <c r="P998" s="30"/>
      <c r="Q998" s="30"/>
    </row>
    <row r="999" spans="1:17" ht="33.75">
      <c r="A999" s="329" t="s">
        <v>1778</v>
      </c>
      <c r="B999" s="147" t="s">
        <v>1779</v>
      </c>
      <c r="C999" s="147"/>
      <c r="D999" s="325">
        <f>D1000</f>
        <v>10486</v>
      </c>
      <c r="P999" s="30"/>
      <c r="Q999" s="30"/>
    </row>
    <row r="1000" spans="1:17" ht="24">
      <c r="A1000" s="326" t="s">
        <v>1541</v>
      </c>
      <c r="B1000" s="147" t="s">
        <v>1777</v>
      </c>
      <c r="C1000" s="147"/>
      <c r="D1000" s="155">
        <f>D1001</f>
        <v>10486</v>
      </c>
      <c r="P1000" s="30"/>
      <c r="Q1000" s="30"/>
    </row>
    <row r="1001" spans="1:17" ht="48">
      <c r="A1001" s="153" t="s">
        <v>1065</v>
      </c>
      <c r="B1001" s="147" t="s">
        <v>1777</v>
      </c>
      <c r="C1001" s="147" t="s">
        <v>960</v>
      </c>
      <c r="D1001" s="155">
        <f>D1002</f>
        <v>10486</v>
      </c>
      <c r="P1001" s="30"/>
      <c r="Q1001" s="30"/>
    </row>
    <row r="1002" spans="1:17" ht="24">
      <c r="A1002" s="153" t="s">
        <v>515</v>
      </c>
      <c r="B1002" s="147" t="s">
        <v>1777</v>
      </c>
      <c r="C1002" s="147" t="s">
        <v>115</v>
      </c>
      <c r="D1002" s="158">
        <f>10486</f>
        <v>10486</v>
      </c>
      <c r="P1002" s="30"/>
      <c r="Q1002" s="30"/>
    </row>
    <row r="1003" spans="1:17" ht="24">
      <c r="A1003" s="260" t="s">
        <v>1348</v>
      </c>
      <c r="B1003" s="147" t="s">
        <v>582</v>
      </c>
      <c r="C1003" s="150"/>
      <c r="D1003" s="158">
        <f>D1004</f>
        <v>24953.1</v>
      </c>
      <c r="P1003" s="30"/>
      <c r="Q1003" s="30"/>
    </row>
    <row r="1004" spans="1:17" ht="24">
      <c r="A1004" s="239" t="s">
        <v>840</v>
      </c>
      <c r="B1004" s="147" t="s">
        <v>583</v>
      </c>
      <c r="C1004" s="147"/>
      <c r="D1004" s="158">
        <f>D1005</f>
        <v>24953.1</v>
      </c>
      <c r="P1004" s="30"/>
      <c r="Q1004" s="30"/>
    </row>
    <row r="1005" spans="1:17" ht="15">
      <c r="A1005" s="153" t="s">
        <v>841</v>
      </c>
      <c r="B1005" s="147" t="s">
        <v>584</v>
      </c>
      <c r="C1005" s="147"/>
      <c r="D1005" s="158">
        <f>D1006+D1008+D1010</f>
        <v>24953.1</v>
      </c>
      <c r="P1005" s="30"/>
      <c r="Q1005" s="30"/>
    </row>
    <row r="1006" spans="1:17" ht="48">
      <c r="A1006" s="153" t="s">
        <v>1065</v>
      </c>
      <c r="B1006" s="147" t="s">
        <v>584</v>
      </c>
      <c r="C1006" s="147" t="s">
        <v>960</v>
      </c>
      <c r="D1006" s="158">
        <f>D1007</f>
        <v>17948</v>
      </c>
      <c r="P1006" s="30"/>
      <c r="Q1006" s="30"/>
    </row>
    <row r="1007" spans="1:17" ht="15">
      <c r="A1007" s="152" t="s">
        <v>1165</v>
      </c>
      <c r="B1007" s="147" t="s">
        <v>584</v>
      </c>
      <c r="C1007" s="147" t="s">
        <v>1166</v>
      </c>
      <c r="D1007" s="158">
        <f>21743.4-2915.4-880</f>
        <v>17948</v>
      </c>
      <c r="P1007" s="30"/>
      <c r="Q1007" s="30"/>
    </row>
    <row r="1008" spans="1:17" ht="15">
      <c r="A1008" s="153" t="s">
        <v>974</v>
      </c>
      <c r="B1008" s="147" t="s">
        <v>584</v>
      </c>
      <c r="C1008" s="147" t="s">
        <v>529</v>
      </c>
      <c r="D1008" s="158">
        <f>D1009</f>
        <v>6995.1</v>
      </c>
      <c r="P1008" s="30"/>
      <c r="Q1008" s="30"/>
    </row>
    <row r="1009" spans="1:17" ht="24">
      <c r="A1009" s="153" t="s">
        <v>1066</v>
      </c>
      <c r="B1009" s="147" t="s">
        <v>584</v>
      </c>
      <c r="C1009" s="147" t="s">
        <v>429</v>
      </c>
      <c r="D1009" s="158">
        <f>1656.6+2948.5-10+400+2000</f>
        <v>6995.1</v>
      </c>
      <c r="P1009" s="30"/>
      <c r="Q1009" s="30"/>
    </row>
    <row r="1010" spans="1:17" ht="15">
      <c r="A1010" s="153" t="s">
        <v>985</v>
      </c>
      <c r="B1010" s="147" t="s">
        <v>584</v>
      </c>
      <c r="C1010" s="147" t="s">
        <v>986</v>
      </c>
      <c r="D1010" s="158">
        <f>D1011</f>
        <v>10</v>
      </c>
      <c r="P1010" s="30"/>
      <c r="Q1010" s="30"/>
    </row>
    <row r="1011" spans="1:17" ht="15">
      <c r="A1011" s="153" t="s">
        <v>459</v>
      </c>
      <c r="B1011" s="147" t="s">
        <v>584</v>
      </c>
      <c r="C1011" s="147" t="s">
        <v>460</v>
      </c>
      <c r="D1011" s="158">
        <v>10</v>
      </c>
      <c r="P1011" s="30"/>
      <c r="Q1011" s="30"/>
    </row>
    <row r="1012" spans="1:17" ht="24">
      <c r="A1012" s="259" t="s">
        <v>1349</v>
      </c>
      <c r="B1012" s="147" t="s">
        <v>826</v>
      </c>
      <c r="C1012" s="147"/>
      <c r="D1012" s="158">
        <f>D1013</f>
        <v>6996.2</v>
      </c>
      <c r="P1012" s="30"/>
      <c r="Q1012" s="30"/>
    </row>
    <row r="1013" spans="1:17" ht="24">
      <c r="A1013" s="239" t="s">
        <v>840</v>
      </c>
      <c r="B1013" s="147" t="s">
        <v>827</v>
      </c>
      <c r="C1013" s="147"/>
      <c r="D1013" s="158">
        <f>D1014</f>
        <v>6996.2</v>
      </c>
      <c r="P1013" s="30"/>
      <c r="Q1013" s="30"/>
    </row>
    <row r="1014" spans="1:17" ht="15">
      <c r="A1014" s="153" t="s">
        <v>841</v>
      </c>
      <c r="B1014" s="147" t="s">
        <v>828</v>
      </c>
      <c r="C1014" s="147"/>
      <c r="D1014" s="158">
        <f>D1015+D1017+D1019</f>
        <v>6996.2</v>
      </c>
      <c r="P1014" s="30"/>
      <c r="Q1014" s="30"/>
    </row>
    <row r="1015" spans="1:17" ht="48">
      <c r="A1015" s="153" t="s">
        <v>1065</v>
      </c>
      <c r="B1015" s="147" t="s">
        <v>828</v>
      </c>
      <c r="C1015" s="147" t="s">
        <v>960</v>
      </c>
      <c r="D1015" s="158">
        <f>D1016</f>
        <v>6282.2</v>
      </c>
      <c r="P1015" s="30"/>
      <c r="Q1015" s="30"/>
    </row>
    <row r="1016" spans="1:17" ht="15">
      <c r="A1016" s="152" t="s">
        <v>1165</v>
      </c>
      <c r="B1016" s="147" t="s">
        <v>828</v>
      </c>
      <c r="C1016" s="147" t="s">
        <v>1166</v>
      </c>
      <c r="D1016" s="158">
        <f>6087+195.2</f>
        <v>6282.2</v>
      </c>
      <c r="P1016" s="30"/>
      <c r="Q1016" s="30"/>
    </row>
    <row r="1017" spans="1:17" ht="15">
      <c r="A1017" s="153" t="s">
        <v>974</v>
      </c>
      <c r="B1017" s="147" t="s">
        <v>828</v>
      </c>
      <c r="C1017" s="147" t="s">
        <v>529</v>
      </c>
      <c r="D1017" s="158">
        <f>D1018</f>
        <v>638</v>
      </c>
      <c r="P1017" s="30"/>
      <c r="Q1017" s="30"/>
    </row>
    <row r="1018" spans="1:17" ht="24">
      <c r="A1018" s="153" t="s">
        <v>1066</v>
      </c>
      <c r="B1018" s="147" t="s">
        <v>828</v>
      </c>
      <c r="C1018" s="147" t="s">
        <v>429</v>
      </c>
      <c r="D1018" s="158">
        <f>612.8-5.3+30.5</f>
        <v>638</v>
      </c>
      <c r="P1018" s="30"/>
      <c r="Q1018" s="30"/>
    </row>
    <row r="1019" spans="1:17" ht="15">
      <c r="A1019" s="153" t="s">
        <v>985</v>
      </c>
      <c r="B1019" s="147" t="s">
        <v>828</v>
      </c>
      <c r="C1019" s="147" t="s">
        <v>986</v>
      </c>
      <c r="D1019" s="158">
        <f>D1020</f>
        <v>76</v>
      </c>
      <c r="P1019" s="30"/>
      <c r="Q1019" s="30"/>
    </row>
    <row r="1020" spans="1:17" ht="15">
      <c r="A1020" s="153" t="s">
        <v>459</v>
      </c>
      <c r="B1020" s="147" t="s">
        <v>828</v>
      </c>
      <c r="C1020" s="147" t="s">
        <v>460</v>
      </c>
      <c r="D1020" s="158">
        <f>76</f>
        <v>76</v>
      </c>
      <c r="P1020" s="30"/>
      <c r="Q1020" s="30"/>
    </row>
    <row r="1021" spans="1:17" ht="24">
      <c r="A1021" s="260" t="s">
        <v>1415</v>
      </c>
      <c r="B1021" s="147" t="s">
        <v>1343</v>
      </c>
      <c r="C1021" s="147"/>
      <c r="D1021" s="158">
        <f>D1022</f>
        <v>92002.2</v>
      </c>
      <c r="P1021" s="30"/>
      <c r="Q1021" s="30"/>
    </row>
    <row r="1022" spans="1:17" ht="22.5">
      <c r="A1022" s="162" t="s">
        <v>840</v>
      </c>
      <c r="B1022" s="147" t="s">
        <v>1344</v>
      </c>
      <c r="C1022" s="147"/>
      <c r="D1022" s="158">
        <f>D1023</f>
        <v>92002.2</v>
      </c>
      <c r="P1022" s="30"/>
      <c r="Q1022" s="30"/>
    </row>
    <row r="1023" spans="1:17" ht="15">
      <c r="A1023" s="153" t="s">
        <v>841</v>
      </c>
      <c r="B1023" s="147" t="s">
        <v>1345</v>
      </c>
      <c r="C1023" s="147"/>
      <c r="D1023" s="158">
        <f>D1024+D1026+D1028</f>
        <v>92002.2</v>
      </c>
      <c r="P1023" s="30"/>
      <c r="Q1023" s="30"/>
    </row>
    <row r="1024" spans="1:17" ht="48">
      <c r="A1024" s="153" t="s">
        <v>1065</v>
      </c>
      <c r="B1024" s="147" t="s">
        <v>1345</v>
      </c>
      <c r="C1024" s="147" t="s">
        <v>960</v>
      </c>
      <c r="D1024" s="158">
        <f>D1025</f>
        <v>72888.4</v>
      </c>
      <c r="P1024" s="30"/>
      <c r="Q1024" s="30"/>
    </row>
    <row r="1025" spans="1:17" ht="15">
      <c r="A1025" s="152" t="s">
        <v>1165</v>
      </c>
      <c r="B1025" s="147" t="s">
        <v>1345</v>
      </c>
      <c r="C1025" s="147" t="s">
        <v>1166</v>
      </c>
      <c r="D1025" s="158">
        <f>53434.7+10845.4+3275.3+3200+180+692+211+500+150+310+90</f>
        <v>72888.4</v>
      </c>
      <c r="P1025" s="30"/>
      <c r="Q1025" s="30"/>
    </row>
    <row r="1026" spans="1:17" ht="15">
      <c r="A1026" s="153" t="s">
        <v>974</v>
      </c>
      <c r="B1026" s="147" t="s">
        <v>1345</v>
      </c>
      <c r="C1026" s="147" t="s">
        <v>529</v>
      </c>
      <c r="D1026" s="158">
        <f>D1027</f>
        <v>18613.2</v>
      </c>
      <c r="P1026" s="30"/>
      <c r="Q1026" s="30"/>
    </row>
    <row r="1027" spans="1:17" ht="24">
      <c r="A1027" s="153" t="s">
        <v>1066</v>
      </c>
      <c r="B1027" s="147" t="s">
        <v>1345</v>
      </c>
      <c r="C1027" s="147" t="s">
        <v>429</v>
      </c>
      <c r="D1027" s="158">
        <f>22134.7-8810-2948.5+7500+2110-70-333-670+100-200-350+150</f>
        <v>18613.2</v>
      </c>
      <c r="P1027" s="30"/>
      <c r="Q1027" s="30"/>
    </row>
    <row r="1028" spans="1:17" ht="15">
      <c r="A1028" s="153" t="s">
        <v>985</v>
      </c>
      <c r="B1028" s="147" t="s">
        <v>1345</v>
      </c>
      <c r="C1028" s="147" t="s">
        <v>986</v>
      </c>
      <c r="D1028" s="158">
        <f>D1029</f>
        <v>500.6</v>
      </c>
      <c r="P1028" s="30"/>
      <c r="Q1028" s="30"/>
    </row>
    <row r="1029" spans="1:17" ht="15">
      <c r="A1029" s="153" t="s">
        <v>459</v>
      </c>
      <c r="B1029" s="147" t="s">
        <v>1345</v>
      </c>
      <c r="C1029" s="147" t="s">
        <v>460</v>
      </c>
      <c r="D1029" s="158">
        <f>430.6+70</f>
        <v>500.6</v>
      </c>
      <c r="P1029" s="30"/>
      <c r="Q1029" s="30"/>
    </row>
    <row r="1030" spans="1:17" ht="45">
      <c r="A1030" s="307" t="s">
        <v>1537</v>
      </c>
      <c r="B1030" s="231" t="s">
        <v>1010</v>
      </c>
      <c r="C1030" s="235"/>
      <c r="D1030" s="309">
        <f>D1031+D1041+D1045+D1049+D1053+D1062</f>
        <v>31927.5</v>
      </c>
      <c r="P1030" s="30"/>
      <c r="Q1030" s="30"/>
    </row>
    <row r="1031" spans="1:17" ht="57">
      <c r="A1031" s="162" t="s">
        <v>1579</v>
      </c>
      <c r="B1031" s="147" t="s">
        <v>1580</v>
      </c>
      <c r="C1031" s="147"/>
      <c r="D1031" s="158">
        <f>D1032+D1035+D1038</f>
        <v>28662.5</v>
      </c>
      <c r="P1031" s="30"/>
      <c r="Q1031" s="30"/>
    </row>
    <row r="1032" spans="1:17" ht="24">
      <c r="A1032" s="152" t="s">
        <v>1724</v>
      </c>
      <c r="B1032" s="147" t="s">
        <v>1725</v>
      </c>
      <c r="C1032" s="147"/>
      <c r="D1032" s="155">
        <f>D1033</f>
        <v>300</v>
      </c>
      <c r="P1032" s="30"/>
      <c r="Q1032" s="30"/>
    </row>
    <row r="1033" spans="1:17" ht="24">
      <c r="A1033" s="153" t="s">
        <v>1066</v>
      </c>
      <c r="B1033" s="147" t="s">
        <v>1725</v>
      </c>
      <c r="C1033" s="147" t="s">
        <v>529</v>
      </c>
      <c r="D1033" s="155">
        <f>D1034</f>
        <v>300</v>
      </c>
      <c r="P1033" s="30"/>
      <c r="Q1033" s="30"/>
    </row>
    <row r="1034" spans="1:17" ht="15">
      <c r="A1034" s="153" t="s">
        <v>974</v>
      </c>
      <c r="B1034" s="147" t="s">
        <v>1725</v>
      </c>
      <c r="C1034" s="147" t="s">
        <v>429</v>
      </c>
      <c r="D1034" s="158">
        <v>300</v>
      </c>
      <c r="P1034" s="30"/>
      <c r="Q1034" s="30"/>
    </row>
    <row r="1035" spans="1:17" ht="15">
      <c r="A1035" s="157" t="s">
        <v>1150</v>
      </c>
      <c r="B1035" s="147" t="s">
        <v>1581</v>
      </c>
      <c r="C1035" s="147"/>
      <c r="D1035" s="158">
        <f>D1036</f>
        <v>11313</v>
      </c>
      <c r="P1035" s="30"/>
      <c r="Q1035" s="30"/>
    </row>
    <row r="1036" spans="1:17" ht="24">
      <c r="A1036" s="152" t="s">
        <v>490</v>
      </c>
      <c r="B1036" s="147" t="s">
        <v>1581</v>
      </c>
      <c r="C1036" s="147" t="s">
        <v>489</v>
      </c>
      <c r="D1036" s="158">
        <f>D1037</f>
        <v>11313</v>
      </c>
      <c r="P1036" s="30"/>
      <c r="Q1036" s="30"/>
    </row>
    <row r="1037" spans="1:17" ht="15">
      <c r="A1037" s="157" t="s">
        <v>371</v>
      </c>
      <c r="B1037" s="147" t="s">
        <v>1581</v>
      </c>
      <c r="C1037" s="147" t="s">
        <v>574</v>
      </c>
      <c r="D1037" s="158">
        <f>11500-187</f>
        <v>11313</v>
      </c>
      <c r="P1037" s="30"/>
      <c r="Q1037" s="30"/>
    </row>
    <row r="1038" spans="1:17" ht="24">
      <c r="A1038" s="157" t="s">
        <v>922</v>
      </c>
      <c r="B1038" s="147" t="s">
        <v>1582</v>
      </c>
      <c r="C1038" s="147"/>
      <c r="D1038" s="158">
        <f>D1039</f>
        <v>17049.5</v>
      </c>
      <c r="P1038" s="30"/>
      <c r="Q1038" s="30"/>
    </row>
    <row r="1039" spans="1:17" ht="24">
      <c r="A1039" s="152" t="s">
        <v>490</v>
      </c>
      <c r="B1039" s="147" t="s">
        <v>1582</v>
      </c>
      <c r="C1039" s="147" t="s">
        <v>489</v>
      </c>
      <c r="D1039" s="158">
        <f>D1040</f>
        <v>17049.5</v>
      </c>
      <c r="P1039" s="30"/>
      <c r="Q1039" s="30"/>
    </row>
    <row r="1040" spans="1:17" ht="15">
      <c r="A1040" s="157" t="s">
        <v>371</v>
      </c>
      <c r="B1040" s="147" t="s">
        <v>1582</v>
      </c>
      <c r="C1040" s="147" t="s">
        <v>574</v>
      </c>
      <c r="D1040" s="158">
        <f>22041.3-4722.7-181.6-87.5</f>
        <v>17049.5</v>
      </c>
      <c r="P1040" s="30"/>
      <c r="Q1040" s="30"/>
    </row>
    <row r="1041" spans="1:17" ht="90.75">
      <c r="A1041" s="162" t="s">
        <v>1551</v>
      </c>
      <c r="B1041" s="147" t="s">
        <v>1552</v>
      </c>
      <c r="C1041" s="147"/>
      <c r="D1041" s="158">
        <f>D1042</f>
        <v>1575</v>
      </c>
      <c r="P1041" s="30"/>
      <c r="Q1041" s="30"/>
    </row>
    <row r="1042" spans="1:17" ht="15">
      <c r="A1042" s="157" t="s">
        <v>903</v>
      </c>
      <c r="B1042" s="147" t="s">
        <v>1553</v>
      </c>
      <c r="C1042" s="147"/>
      <c r="D1042" s="158">
        <f>D1043</f>
        <v>1575</v>
      </c>
      <c r="P1042" s="30"/>
      <c r="Q1042" s="30"/>
    </row>
    <row r="1043" spans="1:17" ht="24">
      <c r="A1043" s="152" t="s">
        <v>490</v>
      </c>
      <c r="B1043" s="147" t="s">
        <v>1553</v>
      </c>
      <c r="C1043" s="147" t="s">
        <v>489</v>
      </c>
      <c r="D1043" s="158">
        <f>D1044</f>
        <v>1575</v>
      </c>
      <c r="P1043" s="30"/>
      <c r="Q1043" s="30"/>
    </row>
    <row r="1044" spans="1:17" ht="15">
      <c r="A1044" s="157" t="s">
        <v>573</v>
      </c>
      <c r="B1044" s="147" t="s">
        <v>1553</v>
      </c>
      <c r="C1044" s="147" t="s">
        <v>574</v>
      </c>
      <c r="D1044" s="158">
        <v>1575</v>
      </c>
      <c r="P1044" s="30"/>
      <c r="Q1044" s="30"/>
    </row>
    <row r="1045" spans="1:17" ht="45">
      <c r="A1045" s="162" t="s">
        <v>1584</v>
      </c>
      <c r="B1045" s="147" t="s">
        <v>1539</v>
      </c>
      <c r="C1045" s="147"/>
      <c r="D1045" s="158">
        <f>D1046</f>
        <v>100</v>
      </c>
      <c r="P1045" s="30"/>
      <c r="Q1045" s="30"/>
    </row>
    <row r="1046" spans="1:17" ht="24">
      <c r="A1046" s="152" t="s">
        <v>662</v>
      </c>
      <c r="B1046" s="147" t="s">
        <v>1540</v>
      </c>
      <c r="C1046" s="147"/>
      <c r="D1046" s="158">
        <f>D1047</f>
        <v>100</v>
      </c>
      <c r="P1046" s="30"/>
      <c r="Q1046" s="30"/>
    </row>
    <row r="1047" spans="1:17" ht="24">
      <c r="A1047" s="153" t="s">
        <v>1066</v>
      </c>
      <c r="B1047" s="147" t="s">
        <v>1540</v>
      </c>
      <c r="C1047" s="147" t="s">
        <v>529</v>
      </c>
      <c r="D1047" s="158">
        <f>D1048</f>
        <v>100</v>
      </c>
      <c r="P1047" s="30"/>
      <c r="Q1047" s="30"/>
    </row>
    <row r="1048" spans="1:17" ht="15">
      <c r="A1048" s="153" t="s">
        <v>974</v>
      </c>
      <c r="B1048" s="147" t="s">
        <v>1540</v>
      </c>
      <c r="C1048" s="147" t="s">
        <v>429</v>
      </c>
      <c r="D1048" s="158">
        <f>100+300-300</f>
        <v>100</v>
      </c>
      <c r="P1048" s="30"/>
      <c r="Q1048" s="30"/>
    </row>
    <row r="1049" spans="1:17" ht="57">
      <c r="A1049" s="162" t="s">
        <v>1585</v>
      </c>
      <c r="B1049" s="147" t="s">
        <v>1555</v>
      </c>
      <c r="C1049" s="147"/>
      <c r="D1049" s="158">
        <f>D1050</f>
        <v>1590</v>
      </c>
      <c r="P1049" s="30"/>
      <c r="Q1049" s="30"/>
    </row>
    <row r="1050" spans="1:17" ht="24">
      <c r="A1050" s="157" t="s">
        <v>1231</v>
      </c>
      <c r="B1050" s="147" t="s">
        <v>1556</v>
      </c>
      <c r="C1050" s="147"/>
      <c r="D1050" s="158">
        <f>D1051</f>
        <v>1590</v>
      </c>
      <c r="P1050" s="30"/>
      <c r="Q1050" s="30"/>
    </row>
    <row r="1051" spans="1:17" ht="24">
      <c r="A1051" s="152" t="s">
        <v>490</v>
      </c>
      <c r="B1051" s="147" t="s">
        <v>1556</v>
      </c>
      <c r="C1051" s="147" t="s">
        <v>489</v>
      </c>
      <c r="D1051" s="158">
        <f>D1052</f>
        <v>1590</v>
      </c>
      <c r="P1051" s="30"/>
      <c r="Q1051" s="30"/>
    </row>
    <row r="1052" spans="1:17" ht="15">
      <c r="A1052" s="157" t="s">
        <v>573</v>
      </c>
      <c r="B1052" s="147" t="s">
        <v>1556</v>
      </c>
      <c r="C1052" s="147" t="s">
        <v>574</v>
      </c>
      <c r="D1052" s="158">
        <v>1590</v>
      </c>
      <c r="P1052" s="30"/>
      <c r="Q1052" s="30"/>
    </row>
    <row r="1053" spans="1:17" ht="48">
      <c r="A1053" s="260" t="s">
        <v>1335</v>
      </c>
      <c r="B1053" s="147" t="s">
        <v>675</v>
      </c>
      <c r="C1053" s="150"/>
      <c r="D1053" s="158">
        <f>D1054+D1058</f>
        <v>0</v>
      </c>
      <c r="P1053" s="30"/>
      <c r="Q1053" s="30"/>
    </row>
    <row r="1054" spans="1:17" ht="35.25">
      <c r="A1054" s="267" t="s">
        <v>674</v>
      </c>
      <c r="B1054" s="147" t="s">
        <v>676</v>
      </c>
      <c r="C1054" s="147"/>
      <c r="D1054" s="158">
        <f>D1055</f>
        <v>0</v>
      </c>
      <c r="P1054" s="30"/>
      <c r="Q1054" s="30"/>
    </row>
    <row r="1055" spans="1:17" ht="15">
      <c r="A1055" s="157" t="s">
        <v>1150</v>
      </c>
      <c r="B1055" s="147" t="s">
        <v>1106</v>
      </c>
      <c r="C1055" s="147"/>
      <c r="D1055" s="158">
        <f>D1056</f>
        <v>0</v>
      </c>
      <c r="P1055" s="30"/>
      <c r="Q1055" s="30"/>
    </row>
    <row r="1056" spans="1:17" ht="24">
      <c r="A1056" s="152" t="s">
        <v>490</v>
      </c>
      <c r="B1056" s="147" t="s">
        <v>1106</v>
      </c>
      <c r="C1056" s="147" t="s">
        <v>489</v>
      </c>
      <c r="D1056" s="158">
        <f>D1057</f>
        <v>0</v>
      </c>
      <c r="P1056" s="30"/>
      <c r="Q1056" s="30"/>
    </row>
    <row r="1057" spans="1:17" ht="15">
      <c r="A1057" s="157" t="s">
        <v>573</v>
      </c>
      <c r="B1057" s="147" t="s">
        <v>1106</v>
      </c>
      <c r="C1057" s="147" t="s">
        <v>574</v>
      </c>
      <c r="D1057" s="158">
        <f>11500-11500</f>
        <v>0</v>
      </c>
      <c r="P1057" s="30"/>
      <c r="Q1057" s="30"/>
    </row>
    <row r="1058" spans="1:17" ht="33.75">
      <c r="A1058" s="162" t="s">
        <v>673</v>
      </c>
      <c r="B1058" s="147" t="s">
        <v>473</v>
      </c>
      <c r="C1058" s="147"/>
      <c r="D1058" s="158">
        <f>D1059</f>
        <v>0</v>
      </c>
      <c r="P1058" s="30"/>
      <c r="Q1058" s="30"/>
    </row>
    <row r="1059" spans="1:17" ht="24">
      <c r="A1059" s="157" t="s">
        <v>922</v>
      </c>
      <c r="B1059" s="147" t="s">
        <v>474</v>
      </c>
      <c r="C1059" s="147"/>
      <c r="D1059" s="158">
        <f>D1060</f>
        <v>0</v>
      </c>
      <c r="P1059" s="30"/>
      <c r="Q1059" s="30"/>
    </row>
    <row r="1060" spans="1:17" ht="24">
      <c r="A1060" s="152" t="s">
        <v>490</v>
      </c>
      <c r="B1060" s="147" t="s">
        <v>474</v>
      </c>
      <c r="C1060" s="147" t="s">
        <v>489</v>
      </c>
      <c r="D1060" s="158">
        <f>D1061</f>
        <v>0</v>
      </c>
      <c r="P1060" s="30"/>
      <c r="Q1060" s="30"/>
    </row>
    <row r="1061" spans="1:17" ht="15">
      <c r="A1061" s="157" t="s">
        <v>371</v>
      </c>
      <c r="B1061" s="147" t="s">
        <v>474</v>
      </c>
      <c r="C1061" s="147" t="s">
        <v>574</v>
      </c>
      <c r="D1061" s="158">
        <f>32565.4-3894.5-6629.6-22041.3</f>
        <v>0</v>
      </c>
      <c r="P1061" s="30"/>
      <c r="Q1061" s="30"/>
    </row>
    <row r="1062" spans="1:17" ht="24">
      <c r="A1062" s="260" t="s">
        <v>1354</v>
      </c>
      <c r="B1062" s="147" t="s">
        <v>1011</v>
      </c>
      <c r="C1062" s="150"/>
      <c r="D1062" s="158">
        <f>D1063+D1067+D1071</f>
        <v>0</v>
      </c>
      <c r="P1062" s="30"/>
      <c r="Q1062" s="30"/>
    </row>
    <row r="1063" spans="1:17" ht="48">
      <c r="A1063" s="152" t="s">
        <v>1212</v>
      </c>
      <c r="B1063" s="147" t="s">
        <v>1012</v>
      </c>
      <c r="C1063" s="147"/>
      <c r="D1063" s="158">
        <f>D1064</f>
        <v>0</v>
      </c>
      <c r="P1063" s="30"/>
      <c r="Q1063" s="30"/>
    </row>
    <row r="1064" spans="1:17" ht="24">
      <c r="A1064" s="152" t="s">
        <v>320</v>
      </c>
      <c r="B1064" s="147" t="s">
        <v>321</v>
      </c>
      <c r="C1064" s="147"/>
      <c r="D1064" s="158">
        <f>D1065</f>
        <v>0</v>
      </c>
      <c r="P1064" s="30"/>
      <c r="Q1064" s="30"/>
    </row>
    <row r="1065" spans="1:17" ht="24">
      <c r="A1065" s="153" t="s">
        <v>1066</v>
      </c>
      <c r="B1065" s="147" t="s">
        <v>321</v>
      </c>
      <c r="C1065" s="147" t="s">
        <v>529</v>
      </c>
      <c r="D1065" s="158">
        <f>D1066</f>
        <v>0</v>
      </c>
      <c r="P1065" s="30"/>
      <c r="Q1065" s="30"/>
    </row>
    <row r="1066" spans="1:17" ht="15">
      <c r="A1066" s="153" t="s">
        <v>974</v>
      </c>
      <c r="B1066" s="147" t="s">
        <v>321</v>
      </c>
      <c r="C1066" s="147" t="s">
        <v>429</v>
      </c>
      <c r="D1066" s="158">
        <f>100-100</f>
        <v>0</v>
      </c>
      <c r="P1066" s="30"/>
      <c r="Q1066" s="30"/>
    </row>
    <row r="1067" spans="1:17" ht="24">
      <c r="A1067" s="157" t="s">
        <v>1227</v>
      </c>
      <c r="B1067" s="147" t="s">
        <v>1228</v>
      </c>
      <c r="C1067" s="147"/>
      <c r="D1067" s="158">
        <f>D1068</f>
        <v>0</v>
      </c>
      <c r="P1067" s="30"/>
      <c r="Q1067" s="30"/>
    </row>
    <row r="1068" spans="1:17" ht="15">
      <c r="A1068" s="157" t="s">
        <v>903</v>
      </c>
      <c r="B1068" s="147" t="s">
        <v>1229</v>
      </c>
      <c r="C1068" s="147"/>
      <c r="D1068" s="158">
        <f>D1069</f>
        <v>0</v>
      </c>
      <c r="P1068" s="30"/>
      <c r="Q1068" s="30"/>
    </row>
    <row r="1069" spans="1:17" ht="24">
      <c r="A1069" s="152" t="s">
        <v>490</v>
      </c>
      <c r="B1069" s="147" t="s">
        <v>1229</v>
      </c>
      <c r="C1069" s="147" t="s">
        <v>489</v>
      </c>
      <c r="D1069" s="158">
        <f>D1070</f>
        <v>0</v>
      </c>
      <c r="P1069" s="30"/>
      <c r="Q1069" s="30"/>
    </row>
    <row r="1070" spans="1:17" ht="15">
      <c r="A1070" s="157" t="s">
        <v>573</v>
      </c>
      <c r="B1070" s="147" t="s">
        <v>1229</v>
      </c>
      <c r="C1070" s="147" t="s">
        <v>574</v>
      </c>
      <c r="D1070" s="158">
        <f>1575-1575</f>
        <v>0</v>
      </c>
      <c r="P1070" s="30"/>
      <c r="Q1070" s="30"/>
    </row>
    <row r="1071" spans="1:17" ht="36">
      <c r="A1071" s="157" t="s">
        <v>1230</v>
      </c>
      <c r="B1071" s="147" t="s">
        <v>902</v>
      </c>
      <c r="C1071" s="147"/>
      <c r="D1071" s="158">
        <f>D1072</f>
        <v>0</v>
      </c>
      <c r="P1071" s="30"/>
      <c r="Q1071" s="30"/>
    </row>
    <row r="1072" spans="1:17" ht="24">
      <c r="A1072" s="157" t="s">
        <v>1231</v>
      </c>
      <c r="B1072" s="147" t="s">
        <v>303</v>
      </c>
      <c r="C1072" s="147"/>
      <c r="D1072" s="158">
        <f>D1073</f>
        <v>0</v>
      </c>
      <c r="P1072" s="30"/>
      <c r="Q1072" s="30"/>
    </row>
    <row r="1073" spans="1:17" ht="24">
      <c r="A1073" s="152" t="s">
        <v>490</v>
      </c>
      <c r="B1073" s="147" t="s">
        <v>303</v>
      </c>
      <c r="C1073" s="147" t="s">
        <v>489</v>
      </c>
      <c r="D1073" s="158">
        <f>D1074</f>
        <v>0</v>
      </c>
      <c r="P1073" s="30"/>
      <c r="Q1073" s="30"/>
    </row>
    <row r="1074" spans="1:17" ht="15">
      <c r="A1074" s="157" t="s">
        <v>573</v>
      </c>
      <c r="B1074" s="147" t="s">
        <v>303</v>
      </c>
      <c r="C1074" s="147" t="s">
        <v>574</v>
      </c>
      <c r="D1074" s="158">
        <f>1590-1590</f>
        <v>0</v>
      </c>
      <c r="P1074" s="30"/>
      <c r="Q1074" s="30"/>
    </row>
    <row r="1075" spans="1:17" ht="33.75">
      <c r="A1075" s="230" t="s">
        <v>1371</v>
      </c>
      <c r="B1075" s="231" t="s">
        <v>212</v>
      </c>
      <c r="C1075" s="235"/>
      <c r="D1075" s="227">
        <f>D1076+D1083+D1088+D1106</f>
        <v>515305.9</v>
      </c>
      <c r="P1075" s="30"/>
      <c r="Q1075" s="30"/>
    </row>
    <row r="1076" spans="1:17" ht="36">
      <c r="A1076" s="260" t="s">
        <v>1300</v>
      </c>
      <c r="B1076" s="147" t="s">
        <v>213</v>
      </c>
      <c r="C1076" s="147"/>
      <c r="D1076" s="158">
        <f>D1077</f>
        <v>64313.4</v>
      </c>
      <c r="P1076" s="30"/>
      <c r="Q1076" s="30"/>
    </row>
    <row r="1077" spans="1:17" ht="45">
      <c r="A1077" s="162" t="s">
        <v>211</v>
      </c>
      <c r="B1077" s="147" t="s">
        <v>214</v>
      </c>
      <c r="C1077" s="147"/>
      <c r="D1077" s="158">
        <f>D1078</f>
        <v>64313.4</v>
      </c>
      <c r="P1077" s="30"/>
      <c r="Q1077" s="30"/>
    </row>
    <row r="1078" spans="1:17" ht="48">
      <c r="A1078" s="152" t="s">
        <v>215</v>
      </c>
      <c r="B1078" s="147" t="s">
        <v>216</v>
      </c>
      <c r="C1078" s="147"/>
      <c r="D1078" s="158">
        <f>D1079+D1081</f>
        <v>64313.4</v>
      </c>
      <c r="P1078" s="30"/>
      <c r="Q1078" s="30"/>
    </row>
    <row r="1079" spans="1:17" ht="24">
      <c r="A1079" s="153" t="s">
        <v>1066</v>
      </c>
      <c r="B1079" s="147" t="s">
        <v>216</v>
      </c>
      <c r="C1079" s="147" t="s">
        <v>529</v>
      </c>
      <c r="D1079" s="158">
        <f>D1080</f>
        <v>60045</v>
      </c>
      <c r="P1079" s="30"/>
      <c r="Q1079" s="30"/>
    </row>
    <row r="1080" spans="1:17" ht="15">
      <c r="A1080" s="153" t="s">
        <v>591</v>
      </c>
      <c r="B1080" s="147" t="s">
        <v>216</v>
      </c>
      <c r="C1080" s="147" t="s">
        <v>429</v>
      </c>
      <c r="D1080" s="158">
        <f>39087.1+3919.9+16938+100</f>
        <v>60045</v>
      </c>
      <c r="J1080" s="32">
        <f>D1099+D1114</f>
        <v>28488</v>
      </c>
      <c r="P1080" s="30"/>
      <c r="Q1080" s="30"/>
    </row>
    <row r="1081" spans="1:17" ht="15">
      <c r="A1081" s="153" t="s">
        <v>985</v>
      </c>
      <c r="B1081" s="147" t="s">
        <v>216</v>
      </c>
      <c r="C1081" s="147" t="s">
        <v>986</v>
      </c>
      <c r="D1081" s="158">
        <f>D1082</f>
        <v>4268.4</v>
      </c>
      <c r="P1081" s="30"/>
      <c r="Q1081" s="30"/>
    </row>
    <row r="1082" spans="1:17" ht="24">
      <c r="A1082" s="152" t="s">
        <v>555</v>
      </c>
      <c r="B1082" s="147" t="s">
        <v>216</v>
      </c>
      <c r="C1082" s="147" t="s">
        <v>556</v>
      </c>
      <c r="D1082" s="158">
        <f>7482.9-3919.9+272.2+433.2</f>
        <v>4268.4</v>
      </c>
      <c r="P1082" s="30"/>
      <c r="Q1082" s="30"/>
    </row>
    <row r="1083" spans="1:17" ht="36">
      <c r="A1083" s="264" t="s">
        <v>1302</v>
      </c>
      <c r="B1083" s="147" t="s">
        <v>246</v>
      </c>
      <c r="C1083" s="150"/>
      <c r="D1083" s="158">
        <f>D1084</f>
        <v>30903</v>
      </c>
      <c r="P1083" s="30"/>
      <c r="Q1083" s="30"/>
    </row>
    <row r="1084" spans="1:17" ht="24">
      <c r="A1084" s="214" t="s">
        <v>248</v>
      </c>
      <c r="B1084" s="147" t="s">
        <v>247</v>
      </c>
      <c r="C1084" s="147"/>
      <c r="D1084" s="158">
        <f>D1085</f>
        <v>30903</v>
      </c>
      <c r="P1084" s="30"/>
      <c r="Q1084" s="30"/>
    </row>
    <row r="1085" spans="1:17" ht="15">
      <c r="A1085" s="15" t="s">
        <v>249</v>
      </c>
      <c r="B1085" s="147" t="s">
        <v>250</v>
      </c>
      <c r="C1085" s="147"/>
      <c r="D1085" s="158">
        <f>D1086</f>
        <v>30903</v>
      </c>
      <c r="P1085" s="30"/>
      <c r="Q1085" s="30"/>
    </row>
    <row r="1086" spans="1:17" ht="24">
      <c r="A1086" s="153" t="s">
        <v>1066</v>
      </c>
      <c r="B1086" s="147" t="s">
        <v>250</v>
      </c>
      <c r="C1086" s="147" t="s">
        <v>529</v>
      </c>
      <c r="D1086" s="158">
        <f>D1087</f>
        <v>30903</v>
      </c>
      <c r="P1086" s="30"/>
      <c r="Q1086" s="30"/>
    </row>
    <row r="1087" spans="1:17" ht="15">
      <c r="A1087" s="153" t="s">
        <v>974</v>
      </c>
      <c r="B1087" s="147" t="s">
        <v>250</v>
      </c>
      <c r="C1087" s="147" t="s">
        <v>429</v>
      </c>
      <c r="D1087" s="158">
        <f>26000+1250+1223+330+2100</f>
        <v>30903</v>
      </c>
      <c r="P1087" s="30"/>
      <c r="Q1087" s="30"/>
    </row>
    <row r="1088" spans="1:17" ht="48">
      <c r="A1088" s="260" t="s">
        <v>1303</v>
      </c>
      <c r="B1088" s="147" t="s">
        <v>253</v>
      </c>
      <c r="C1088" s="150"/>
      <c r="D1088" s="158">
        <f>D1089+D1102</f>
        <v>409487.6</v>
      </c>
      <c r="P1088" s="30"/>
      <c r="Q1088" s="30"/>
    </row>
    <row r="1089" spans="1:17" ht="22.5">
      <c r="A1089" s="162" t="s">
        <v>251</v>
      </c>
      <c r="B1089" s="147" t="s">
        <v>254</v>
      </c>
      <c r="C1089" s="147"/>
      <c r="D1089" s="158">
        <f>D1090+D1093+D1096+D1099</f>
        <v>286487.6</v>
      </c>
      <c r="P1089" s="30"/>
      <c r="Q1089" s="30"/>
    </row>
    <row r="1090" spans="1:17" ht="24">
      <c r="A1090" s="152" t="s">
        <v>252</v>
      </c>
      <c r="B1090" s="147" t="s">
        <v>255</v>
      </c>
      <c r="C1090" s="147"/>
      <c r="D1090" s="158">
        <f>D1091</f>
        <v>239391.6</v>
      </c>
      <c r="P1090" s="30"/>
      <c r="Q1090" s="30"/>
    </row>
    <row r="1091" spans="1:17" ht="24">
      <c r="A1091" s="153" t="s">
        <v>1066</v>
      </c>
      <c r="B1091" s="147" t="s">
        <v>255</v>
      </c>
      <c r="C1091" s="147" t="s">
        <v>529</v>
      </c>
      <c r="D1091" s="158">
        <f>D1092</f>
        <v>239391.6</v>
      </c>
      <c r="P1091" s="30"/>
      <c r="Q1091" s="30"/>
    </row>
    <row r="1092" spans="1:17" ht="15">
      <c r="A1092" s="153" t="s">
        <v>591</v>
      </c>
      <c r="B1092" s="147" t="s">
        <v>255</v>
      </c>
      <c r="C1092" s="147" t="s">
        <v>429</v>
      </c>
      <c r="D1092" s="158">
        <f>204638+4000-2152.4-500+2424+30982</f>
        <v>239391.6</v>
      </c>
      <c r="P1092" s="30"/>
      <c r="Q1092" s="30"/>
    </row>
    <row r="1093" spans="1:17" ht="48">
      <c r="A1093" s="157" t="s">
        <v>409</v>
      </c>
      <c r="B1093" s="147" t="s">
        <v>302</v>
      </c>
      <c r="C1093" s="147"/>
      <c r="D1093" s="158">
        <f>D1094</f>
        <v>18608</v>
      </c>
      <c r="P1093" s="30"/>
      <c r="Q1093" s="30"/>
    </row>
    <row r="1094" spans="1:17" ht="24">
      <c r="A1094" s="153" t="s">
        <v>1066</v>
      </c>
      <c r="B1094" s="147" t="s">
        <v>302</v>
      </c>
      <c r="C1094" s="147" t="s">
        <v>529</v>
      </c>
      <c r="D1094" s="158">
        <f>D1095</f>
        <v>18608</v>
      </c>
      <c r="P1094" s="30"/>
      <c r="Q1094" s="30"/>
    </row>
    <row r="1095" spans="1:17" ht="24" customHeight="1">
      <c r="A1095" s="153" t="s">
        <v>591</v>
      </c>
      <c r="B1095" s="147" t="s">
        <v>302</v>
      </c>
      <c r="C1095" s="147" t="s">
        <v>429</v>
      </c>
      <c r="D1095" s="158">
        <f>13108+5500</f>
        <v>18608</v>
      </c>
      <c r="P1095" s="30"/>
      <c r="Q1095" s="30"/>
    </row>
    <row r="1096" spans="1:17" ht="72">
      <c r="A1096" s="153" t="s">
        <v>1213</v>
      </c>
      <c r="B1096" s="147" t="s">
        <v>301</v>
      </c>
      <c r="C1096" s="147"/>
      <c r="D1096" s="158">
        <f>D1097</f>
        <v>0</v>
      </c>
      <c r="P1096" s="30"/>
      <c r="Q1096" s="30"/>
    </row>
    <row r="1097" spans="1:17" ht="24">
      <c r="A1097" s="153" t="s">
        <v>1066</v>
      </c>
      <c r="B1097" s="147" t="s">
        <v>301</v>
      </c>
      <c r="C1097" s="147" t="s">
        <v>529</v>
      </c>
      <c r="D1097" s="158">
        <f>D1098</f>
        <v>0</v>
      </c>
      <c r="P1097" s="30"/>
      <c r="Q1097" s="30"/>
    </row>
    <row r="1098" spans="1:17" ht="15">
      <c r="A1098" s="153" t="s">
        <v>591</v>
      </c>
      <c r="B1098" s="147" t="s">
        <v>301</v>
      </c>
      <c r="C1098" s="147" t="s">
        <v>429</v>
      </c>
      <c r="D1098" s="158"/>
      <c r="P1098" s="30"/>
      <c r="Q1098" s="30"/>
    </row>
    <row r="1099" spans="1:17" ht="48">
      <c r="A1099" s="153" t="s">
        <v>1214</v>
      </c>
      <c r="B1099" s="147" t="s">
        <v>1215</v>
      </c>
      <c r="C1099" s="147"/>
      <c r="D1099" s="158">
        <f>D1100</f>
        <v>28488</v>
      </c>
      <c r="P1099" s="30"/>
      <c r="Q1099" s="30"/>
    </row>
    <row r="1100" spans="1:17" ht="24">
      <c r="A1100" s="153" t="s">
        <v>1066</v>
      </c>
      <c r="B1100" s="147" t="s">
        <v>1215</v>
      </c>
      <c r="C1100" s="147" t="s">
        <v>529</v>
      </c>
      <c r="D1100" s="158">
        <f>D1101</f>
        <v>28488</v>
      </c>
      <c r="P1100" s="30"/>
      <c r="Q1100" s="30"/>
    </row>
    <row r="1101" spans="1:17" ht="15">
      <c r="A1101" s="153" t="s">
        <v>591</v>
      </c>
      <c r="B1101" s="147" t="s">
        <v>1215</v>
      </c>
      <c r="C1101" s="147" t="s">
        <v>429</v>
      </c>
      <c r="D1101" s="158">
        <f>19000+9488</f>
        <v>28488</v>
      </c>
      <c r="P1101" s="30"/>
      <c r="Q1101" s="30"/>
    </row>
    <row r="1102" spans="1:17" ht="15">
      <c r="A1102" s="239" t="s">
        <v>256</v>
      </c>
      <c r="B1102" s="147" t="s">
        <v>258</v>
      </c>
      <c r="C1102" s="147"/>
      <c r="D1102" s="158">
        <f>D1103</f>
        <v>123000</v>
      </c>
      <c r="P1102" s="30"/>
      <c r="Q1102" s="30"/>
    </row>
    <row r="1103" spans="1:17" ht="15">
      <c r="A1103" s="153" t="s">
        <v>257</v>
      </c>
      <c r="B1103" s="147" t="s">
        <v>259</v>
      </c>
      <c r="C1103" s="147"/>
      <c r="D1103" s="158">
        <f>D1104</f>
        <v>123000</v>
      </c>
      <c r="P1103" s="30"/>
      <c r="Q1103" s="30"/>
    </row>
    <row r="1104" spans="1:17" ht="24">
      <c r="A1104" s="152" t="s">
        <v>490</v>
      </c>
      <c r="B1104" s="147" t="s">
        <v>259</v>
      </c>
      <c r="C1104" s="147" t="s">
        <v>489</v>
      </c>
      <c r="D1104" s="158">
        <f>D1105</f>
        <v>123000</v>
      </c>
      <c r="P1104" s="30"/>
      <c r="Q1104" s="30"/>
    </row>
    <row r="1105" spans="1:17" ht="15">
      <c r="A1105" s="157" t="s">
        <v>573</v>
      </c>
      <c r="B1105" s="147" t="s">
        <v>259</v>
      </c>
      <c r="C1105" s="147" t="s">
        <v>574</v>
      </c>
      <c r="D1105" s="158">
        <f>128500-500-5000</f>
        <v>123000</v>
      </c>
      <c r="P1105" s="30"/>
      <c r="Q1105" s="30"/>
    </row>
    <row r="1106" spans="1:17" ht="48">
      <c r="A1106" s="260" t="s">
        <v>1304</v>
      </c>
      <c r="B1106" s="147" t="s">
        <v>267</v>
      </c>
      <c r="C1106" s="147"/>
      <c r="D1106" s="158">
        <f>D1107</f>
        <v>10601.9</v>
      </c>
      <c r="P1106" s="30"/>
      <c r="Q1106" s="30"/>
    </row>
    <row r="1107" spans="1:17" ht="33.75">
      <c r="A1107" s="162" t="s">
        <v>265</v>
      </c>
      <c r="B1107" s="147" t="s">
        <v>268</v>
      </c>
      <c r="C1107" s="147"/>
      <c r="D1107" s="158">
        <f>D1108+D1111+D1114</f>
        <v>10601.9</v>
      </c>
      <c r="P1107" s="30"/>
      <c r="Q1107" s="30"/>
    </row>
    <row r="1108" spans="1:17" ht="24">
      <c r="A1108" s="157" t="s">
        <v>266</v>
      </c>
      <c r="B1108" s="147" t="s">
        <v>1181</v>
      </c>
      <c r="C1108" s="147"/>
      <c r="D1108" s="158">
        <f>D1109</f>
        <v>10601.9</v>
      </c>
      <c r="P1108" s="30"/>
      <c r="Q1108" s="30"/>
    </row>
    <row r="1109" spans="1:17" ht="24">
      <c r="A1109" s="153" t="s">
        <v>1066</v>
      </c>
      <c r="B1109" s="147" t="s">
        <v>1181</v>
      </c>
      <c r="C1109" s="147" t="s">
        <v>529</v>
      </c>
      <c r="D1109" s="158">
        <f>D1110</f>
        <v>10601.9</v>
      </c>
      <c r="P1109" s="30"/>
      <c r="Q1109" s="30"/>
    </row>
    <row r="1110" spans="1:17" ht="15">
      <c r="A1110" s="153" t="s">
        <v>591</v>
      </c>
      <c r="B1110" s="147" t="s">
        <v>1181</v>
      </c>
      <c r="C1110" s="147" t="s">
        <v>429</v>
      </c>
      <c r="D1110" s="158">
        <f>8449.5+2152.4</f>
        <v>10601.9</v>
      </c>
      <c r="P1110" s="30"/>
      <c r="Q1110" s="30"/>
    </row>
    <row r="1111" spans="1:17" ht="60">
      <c r="A1111" s="153" t="s">
        <v>1216</v>
      </c>
      <c r="B1111" s="147" t="s">
        <v>1181</v>
      </c>
      <c r="C1111" s="147"/>
      <c r="D1111" s="158">
        <f>D1112</f>
        <v>0</v>
      </c>
      <c r="P1111" s="30"/>
      <c r="Q1111" s="30"/>
    </row>
    <row r="1112" spans="1:17" ht="24">
      <c r="A1112" s="153" t="s">
        <v>1066</v>
      </c>
      <c r="B1112" s="147" t="s">
        <v>1181</v>
      </c>
      <c r="C1112" s="147" t="s">
        <v>529</v>
      </c>
      <c r="D1112" s="158">
        <f>D1113</f>
        <v>0</v>
      </c>
      <c r="P1112" s="30"/>
      <c r="Q1112" s="30"/>
    </row>
    <row r="1113" spans="1:17" ht="15">
      <c r="A1113" s="153" t="s">
        <v>591</v>
      </c>
      <c r="B1113" s="147" t="s">
        <v>1181</v>
      </c>
      <c r="C1113" s="147" t="s">
        <v>429</v>
      </c>
      <c r="D1113" s="158"/>
      <c r="P1113" s="30"/>
      <c r="Q1113" s="30"/>
    </row>
    <row r="1114" spans="1:17" ht="60">
      <c r="A1114" s="153" t="s">
        <v>1217</v>
      </c>
      <c r="B1114" s="147" t="s">
        <v>1218</v>
      </c>
      <c r="C1114" s="147"/>
      <c r="D1114" s="158">
        <f>D1115</f>
        <v>0</v>
      </c>
      <c r="P1114" s="30"/>
      <c r="Q1114" s="30"/>
    </row>
    <row r="1115" spans="1:17" ht="24">
      <c r="A1115" s="153" t="s">
        <v>1066</v>
      </c>
      <c r="B1115" s="147" t="s">
        <v>1218</v>
      </c>
      <c r="C1115" s="147" t="s">
        <v>529</v>
      </c>
      <c r="D1115" s="158">
        <f>D1116</f>
        <v>0</v>
      </c>
      <c r="P1115" s="30"/>
      <c r="Q1115" s="30"/>
    </row>
    <row r="1116" spans="1:17" ht="15">
      <c r="A1116" s="153" t="s">
        <v>591</v>
      </c>
      <c r="B1116" s="147" t="s">
        <v>1218</v>
      </c>
      <c r="C1116" s="147" t="s">
        <v>429</v>
      </c>
      <c r="D1116" s="158"/>
      <c r="P1116" s="30"/>
      <c r="Q1116" s="30"/>
    </row>
    <row r="1117" spans="1:17" ht="33.75">
      <c r="A1117" s="230" t="s">
        <v>1372</v>
      </c>
      <c r="B1117" s="231" t="s">
        <v>469</v>
      </c>
      <c r="C1117" s="231"/>
      <c r="D1117" s="227">
        <f>D1118</f>
        <v>25200.1</v>
      </c>
      <c r="P1117" s="30"/>
      <c r="Q1117" s="30"/>
    </row>
    <row r="1118" spans="1:17" ht="36">
      <c r="A1118" s="260" t="s">
        <v>1306</v>
      </c>
      <c r="B1118" s="147" t="s">
        <v>470</v>
      </c>
      <c r="C1118" s="147"/>
      <c r="D1118" s="158">
        <f>D1119+D1125</f>
        <v>25200.1</v>
      </c>
      <c r="P1118" s="30"/>
      <c r="Q1118" s="30"/>
    </row>
    <row r="1119" spans="1:17" ht="24">
      <c r="A1119" s="239" t="s">
        <v>840</v>
      </c>
      <c r="B1119" s="147" t="s">
        <v>471</v>
      </c>
      <c r="C1119" s="147"/>
      <c r="D1119" s="158">
        <f>D1120</f>
        <v>23200.1</v>
      </c>
      <c r="P1119" s="30"/>
      <c r="Q1119" s="30"/>
    </row>
    <row r="1120" spans="1:17" ht="15">
      <c r="A1120" s="153" t="s">
        <v>841</v>
      </c>
      <c r="B1120" s="147" t="s">
        <v>472</v>
      </c>
      <c r="C1120" s="147"/>
      <c r="D1120" s="158">
        <f>D1121+D1123</f>
        <v>23200.1</v>
      </c>
      <c r="P1120" s="30"/>
      <c r="Q1120" s="30"/>
    </row>
    <row r="1121" spans="1:17" ht="48">
      <c r="A1121" s="153" t="s">
        <v>1065</v>
      </c>
      <c r="B1121" s="147" t="s">
        <v>472</v>
      </c>
      <c r="C1121" s="147" t="s">
        <v>960</v>
      </c>
      <c r="D1121" s="158">
        <f>D1122</f>
        <v>22461.6</v>
      </c>
      <c r="P1121" s="30"/>
      <c r="Q1121" s="30"/>
    </row>
    <row r="1122" spans="1:17" ht="15">
      <c r="A1122" s="152" t="s">
        <v>1165</v>
      </c>
      <c r="B1122" s="147" t="s">
        <v>472</v>
      </c>
      <c r="C1122" s="147" t="s">
        <v>1166</v>
      </c>
      <c r="D1122" s="158">
        <f>21820-749.9+1068.8+322.7</f>
        <v>22461.6</v>
      </c>
      <c r="P1122" s="30"/>
      <c r="Q1122" s="30"/>
    </row>
    <row r="1123" spans="1:17" ht="24">
      <c r="A1123" s="153" t="s">
        <v>1066</v>
      </c>
      <c r="B1123" s="147" t="s">
        <v>472</v>
      </c>
      <c r="C1123" s="147" t="s">
        <v>529</v>
      </c>
      <c r="D1123" s="158">
        <f>D1124</f>
        <v>738.5</v>
      </c>
      <c r="P1123" s="30"/>
      <c r="Q1123" s="30"/>
    </row>
    <row r="1124" spans="1:17" ht="15">
      <c r="A1124" s="153" t="s">
        <v>974</v>
      </c>
      <c r="B1124" s="147" t="s">
        <v>472</v>
      </c>
      <c r="C1124" s="147" t="s">
        <v>429</v>
      </c>
      <c r="D1124" s="158">
        <f>480-30.5+289</f>
        <v>738.5</v>
      </c>
      <c r="P1124" s="30"/>
      <c r="Q1124" s="30"/>
    </row>
    <row r="1125" spans="1:17" ht="22.5">
      <c r="A1125" s="162" t="s">
        <v>1590</v>
      </c>
      <c r="B1125" s="147" t="s">
        <v>830</v>
      </c>
      <c r="C1125" s="147"/>
      <c r="D1125" s="158">
        <f>D1126</f>
        <v>2000</v>
      </c>
      <c r="P1125" s="30"/>
      <c r="Q1125" s="30"/>
    </row>
    <row r="1126" spans="1:17" ht="24">
      <c r="A1126" s="157" t="s">
        <v>831</v>
      </c>
      <c r="B1126" s="147" t="s">
        <v>832</v>
      </c>
      <c r="C1126" s="147"/>
      <c r="D1126" s="158">
        <f>D1127</f>
        <v>2000</v>
      </c>
      <c r="P1126" s="30"/>
      <c r="Q1126" s="30"/>
    </row>
    <row r="1127" spans="1:17" ht="24">
      <c r="A1127" s="153" t="s">
        <v>1066</v>
      </c>
      <c r="B1127" s="147" t="s">
        <v>832</v>
      </c>
      <c r="C1127" s="147" t="s">
        <v>529</v>
      </c>
      <c r="D1127" s="158">
        <f>D1128</f>
        <v>2000</v>
      </c>
      <c r="P1127" s="30"/>
      <c r="Q1127" s="30"/>
    </row>
    <row r="1128" spans="1:17" ht="15">
      <c r="A1128" s="153" t="s">
        <v>974</v>
      </c>
      <c r="B1128" s="147" t="s">
        <v>832</v>
      </c>
      <c r="C1128" s="147" t="s">
        <v>429</v>
      </c>
      <c r="D1128" s="158">
        <f>1500+500</f>
        <v>2000</v>
      </c>
      <c r="P1128" s="30"/>
      <c r="Q1128" s="30"/>
    </row>
    <row r="1129" spans="1:17" ht="33.75">
      <c r="A1129" s="230" t="s">
        <v>839</v>
      </c>
      <c r="B1129" s="231" t="s">
        <v>904</v>
      </c>
      <c r="C1129" s="231"/>
      <c r="D1129" s="227">
        <f>D1130+D1135</f>
        <v>195501.59999999998</v>
      </c>
      <c r="P1129" s="30"/>
      <c r="Q1129" s="30"/>
    </row>
    <row r="1130" spans="1:17" ht="33.75">
      <c r="A1130" s="162" t="s">
        <v>1060</v>
      </c>
      <c r="B1130" s="147" t="s">
        <v>1061</v>
      </c>
      <c r="C1130" s="147"/>
      <c r="D1130" s="158">
        <f>D1131</f>
        <v>1200</v>
      </c>
      <c r="P1130" s="30"/>
      <c r="Q1130" s="30"/>
    </row>
    <row r="1131" spans="1:17" ht="22.5">
      <c r="A1131" s="162" t="s">
        <v>1062</v>
      </c>
      <c r="B1131" s="147" t="s">
        <v>1063</v>
      </c>
      <c r="C1131" s="147"/>
      <c r="D1131" s="158">
        <f>D1132</f>
        <v>1200</v>
      </c>
      <c r="P1131" s="30"/>
      <c r="Q1131" s="30"/>
    </row>
    <row r="1132" spans="1:17" ht="24">
      <c r="A1132" s="157" t="s">
        <v>275</v>
      </c>
      <c r="B1132" s="147" t="s">
        <v>1064</v>
      </c>
      <c r="C1132" s="147"/>
      <c r="D1132" s="158">
        <f>D1133</f>
        <v>1200</v>
      </c>
      <c r="P1132" s="30"/>
      <c r="Q1132" s="30"/>
    </row>
    <row r="1133" spans="1:17" ht="24">
      <c r="A1133" s="152" t="s">
        <v>490</v>
      </c>
      <c r="B1133" s="147" t="s">
        <v>1064</v>
      </c>
      <c r="C1133" s="147" t="s">
        <v>489</v>
      </c>
      <c r="D1133" s="158">
        <f>D1134</f>
        <v>1200</v>
      </c>
      <c r="P1133" s="30"/>
      <c r="Q1133" s="30"/>
    </row>
    <row r="1134" spans="1:17" ht="15">
      <c r="A1134" s="157" t="s">
        <v>491</v>
      </c>
      <c r="B1134" s="147" t="s">
        <v>1064</v>
      </c>
      <c r="C1134" s="147" t="s">
        <v>574</v>
      </c>
      <c r="D1134" s="158">
        <v>1200</v>
      </c>
      <c r="E1134" s="63">
        <f>D1149+D1152</f>
        <v>64420.7</v>
      </c>
      <c r="F1134" s="63">
        <f>D1132+D1137+D1140+D1143+D1146+D1156</f>
        <v>131080.9</v>
      </c>
      <c r="J1134" s="32">
        <f>D1149</f>
        <v>45340.7</v>
      </c>
      <c r="P1134" s="30"/>
      <c r="Q1134" s="30"/>
    </row>
    <row r="1135" spans="1:17" ht="24">
      <c r="A1135" s="260" t="s">
        <v>94</v>
      </c>
      <c r="B1135" s="147" t="s">
        <v>905</v>
      </c>
      <c r="C1135" s="147"/>
      <c r="D1135" s="158">
        <f>D1136+D1155</f>
        <v>194301.59999999998</v>
      </c>
      <c r="P1135" s="30"/>
      <c r="Q1135" s="30"/>
    </row>
    <row r="1136" spans="1:17" ht="15">
      <c r="A1136" s="162" t="s">
        <v>906</v>
      </c>
      <c r="B1136" s="147" t="s">
        <v>908</v>
      </c>
      <c r="C1136" s="147"/>
      <c r="D1136" s="158">
        <f>D1137+D1149+D1140+D1143+D1146+D1152</f>
        <v>194301.59999999998</v>
      </c>
      <c r="P1136" s="30"/>
      <c r="Q1136" s="30"/>
    </row>
    <row r="1137" spans="1:17" ht="15">
      <c r="A1137" s="157" t="s">
        <v>907</v>
      </c>
      <c r="B1137" s="147" t="s">
        <v>909</v>
      </c>
      <c r="C1137" s="147"/>
      <c r="D1137" s="158">
        <f>D1138</f>
        <v>111804.7</v>
      </c>
      <c r="P1137" s="30"/>
      <c r="Q1137" s="30"/>
    </row>
    <row r="1138" spans="1:17" ht="24">
      <c r="A1138" s="153" t="s">
        <v>1066</v>
      </c>
      <c r="B1138" s="147" t="s">
        <v>909</v>
      </c>
      <c r="C1138" s="147" t="s">
        <v>529</v>
      </c>
      <c r="D1138" s="158">
        <f>D1139</f>
        <v>111804.7</v>
      </c>
      <c r="P1138" s="30"/>
      <c r="Q1138" s="30"/>
    </row>
    <row r="1139" spans="1:17" ht="15">
      <c r="A1139" s="153" t="s">
        <v>591</v>
      </c>
      <c r="B1139" s="147" t="s">
        <v>909</v>
      </c>
      <c r="C1139" s="147" t="s">
        <v>429</v>
      </c>
      <c r="D1139" s="158">
        <f>109141-4250+6500+413.7</f>
        <v>111804.7</v>
      </c>
      <c r="P1139" s="30"/>
      <c r="Q1139" s="30"/>
    </row>
    <row r="1140" spans="1:17" ht="48">
      <c r="A1140" s="152" t="s">
        <v>1664</v>
      </c>
      <c r="B1140" s="147" t="s">
        <v>1665</v>
      </c>
      <c r="C1140" s="147"/>
      <c r="D1140" s="279">
        <f>D1141</f>
        <v>2386.4</v>
      </c>
      <c r="E1140" s="63">
        <f>D1149+D1152</f>
        <v>64420.7</v>
      </c>
      <c r="F1140" s="63">
        <f>D1137+D1140+D1143+D1146+D1156</f>
        <v>129880.9</v>
      </c>
      <c r="P1140" s="30"/>
      <c r="Q1140" s="30"/>
    </row>
    <row r="1141" spans="1:17" ht="24">
      <c r="A1141" s="153" t="s">
        <v>1066</v>
      </c>
      <c r="B1141" s="147" t="s">
        <v>1665</v>
      </c>
      <c r="C1141" s="147" t="s">
        <v>529</v>
      </c>
      <c r="D1141" s="279">
        <f>D1142</f>
        <v>2386.4</v>
      </c>
      <c r="P1141" s="30"/>
      <c r="Q1141" s="30"/>
    </row>
    <row r="1142" spans="1:17" ht="15">
      <c r="A1142" s="153" t="s">
        <v>591</v>
      </c>
      <c r="B1142" s="147" t="s">
        <v>1665</v>
      </c>
      <c r="C1142" s="147" t="s">
        <v>429</v>
      </c>
      <c r="D1142" s="158">
        <f>1161+1225.4</f>
        <v>2386.4</v>
      </c>
      <c r="P1142" s="30"/>
      <c r="Q1142" s="30"/>
    </row>
    <row r="1143" spans="1:17" ht="24">
      <c r="A1143" s="153" t="s">
        <v>1666</v>
      </c>
      <c r="B1143" s="147" t="s">
        <v>1667</v>
      </c>
      <c r="C1143" s="147"/>
      <c r="D1143" s="279">
        <f>D1144</f>
        <v>4769.799999999999</v>
      </c>
      <c r="P1143" s="30"/>
      <c r="Q1143" s="30"/>
    </row>
    <row r="1144" spans="1:17" ht="24">
      <c r="A1144" s="153" t="s">
        <v>1066</v>
      </c>
      <c r="B1144" s="147" t="s">
        <v>1667</v>
      </c>
      <c r="C1144" s="147" t="s">
        <v>529</v>
      </c>
      <c r="D1144" s="279">
        <f>D1145</f>
        <v>4769.799999999999</v>
      </c>
      <c r="P1144" s="30"/>
      <c r="Q1144" s="30"/>
    </row>
    <row r="1145" spans="1:17" ht="15">
      <c r="A1145" s="153" t="s">
        <v>591</v>
      </c>
      <c r="B1145" s="147" t="s">
        <v>1667</v>
      </c>
      <c r="C1145" s="147" t="s">
        <v>429</v>
      </c>
      <c r="D1145" s="158">
        <f>6845.2+350-1225.4-1200</f>
        <v>4769.799999999999</v>
      </c>
      <c r="P1145" s="30"/>
      <c r="Q1145" s="30"/>
    </row>
    <row r="1146" spans="1:17" ht="48">
      <c r="A1146" s="312" t="s">
        <v>1730</v>
      </c>
      <c r="B1146" s="147" t="s">
        <v>1731</v>
      </c>
      <c r="C1146" s="147"/>
      <c r="D1146" s="155">
        <f>D1147</f>
        <v>10920</v>
      </c>
      <c r="P1146" s="30"/>
      <c r="Q1146" s="30"/>
    </row>
    <row r="1147" spans="1:17" ht="24">
      <c r="A1147" s="153" t="s">
        <v>1066</v>
      </c>
      <c r="B1147" s="147" t="s">
        <v>1731</v>
      </c>
      <c r="C1147" s="147" t="s">
        <v>529</v>
      </c>
      <c r="D1147" s="155">
        <f>D1148</f>
        <v>10920</v>
      </c>
      <c r="P1147" s="30"/>
      <c r="Q1147" s="30"/>
    </row>
    <row r="1148" spans="1:17" ht="15">
      <c r="A1148" s="153" t="s">
        <v>591</v>
      </c>
      <c r="B1148" s="147" t="s">
        <v>1731</v>
      </c>
      <c r="C1148" s="147" t="s">
        <v>429</v>
      </c>
      <c r="D1148" s="158">
        <v>10920</v>
      </c>
      <c r="P1148" s="30"/>
      <c r="Q1148" s="30"/>
    </row>
    <row r="1149" spans="1:17" ht="36">
      <c r="A1149" s="152" t="s">
        <v>1668</v>
      </c>
      <c r="B1149" s="147" t="s">
        <v>1669</v>
      </c>
      <c r="C1149" s="147"/>
      <c r="D1149" s="158">
        <f>D1150</f>
        <v>45340.7</v>
      </c>
      <c r="P1149" s="30"/>
      <c r="Q1149" s="30"/>
    </row>
    <row r="1150" spans="1:17" ht="24">
      <c r="A1150" s="153" t="s">
        <v>1066</v>
      </c>
      <c r="B1150" s="147" t="s">
        <v>1669</v>
      </c>
      <c r="C1150" s="147" t="s">
        <v>529</v>
      </c>
      <c r="D1150" s="158">
        <f>D1151</f>
        <v>45340.7</v>
      </c>
      <c r="P1150" s="30"/>
      <c r="Q1150" s="30"/>
    </row>
    <row r="1151" spans="1:17" ht="15">
      <c r="A1151" s="153" t="s">
        <v>591</v>
      </c>
      <c r="B1151" s="147" t="s">
        <v>1669</v>
      </c>
      <c r="C1151" s="147" t="s">
        <v>429</v>
      </c>
      <c r="D1151" s="158">
        <f>22073+23267.7</f>
        <v>45340.7</v>
      </c>
      <c r="P1151" s="30"/>
      <c r="Q1151" s="30"/>
    </row>
    <row r="1152" spans="1:17" ht="36">
      <c r="A1152" s="312" t="s">
        <v>1732</v>
      </c>
      <c r="B1152" s="147" t="s">
        <v>1733</v>
      </c>
      <c r="C1152" s="147"/>
      <c r="D1152" s="279">
        <f>D1153</f>
        <v>19080</v>
      </c>
      <c r="P1152" s="30"/>
      <c r="Q1152" s="30"/>
    </row>
    <row r="1153" spans="1:17" ht="24">
      <c r="A1153" s="153" t="s">
        <v>1066</v>
      </c>
      <c r="B1153" s="147" t="s">
        <v>1733</v>
      </c>
      <c r="C1153" s="147" t="s">
        <v>529</v>
      </c>
      <c r="D1153" s="279">
        <f>D1154</f>
        <v>19080</v>
      </c>
      <c r="P1153" s="30"/>
      <c r="Q1153" s="30"/>
    </row>
    <row r="1154" spans="1:17" ht="15">
      <c r="A1154" s="153" t="s">
        <v>591</v>
      </c>
      <c r="B1154" s="147" t="s">
        <v>1733</v>
      </c>
      <c r="C1154" s="147" t="s">
        <v>429</v>
      </c>
      <c r="D1154" s="158">
        <v>19080</v>
      </c>
      <c r="P1154" s="30"/>
      <c r="Q1154" s="30"/>
    </row>
    <row r="1155" spans="1:17" ht="22.5">
      <c r="A1155" s="162" t="s">
        <v>910</v>
      </c>
      <c r="B1155" s="147" t="s">
        <v>911</v>
      </c>
      <c r="C1155" s="147"/>
      <c r="D1155" s="158">
        <f>D1156</f>
        <v>0</v>
      </c>
      <c r="P1155" s="30"/>
      <c r="Q1155" s="30"/>
    </row>
    <row r="1156" spans="1:17" ht="15">
      <c r="A1156" s="157" t="s">
        <v>907</v>
      </c>
      <c r="B1156" s="147" t="s">
        <v>912</v>
      </c>
      <c r="C1156" s="147"/>
      <c r="D1156" s="158">
        <f>D1157</f>
        <v>0</v>
      </c>
      <c r="P1156" s="30"/>
      <c r="Q1156" s="30"/>
    </row>
    <row r="1157" spans="1:17" ht="24">
      <c r="A1157" s="152" t="s">
        <v>461</v>
      </c>
      <c r="B1157" s="147" t="s">
        <v>912</v>
      </c>
      <c r="C1157" s="147" t="s">
        <v>1167</v>
      </c>
      <c r="D1157" s="158">
        <f>D1158</f>
        <v>0</v>
      </c>
      <c r="P1157" s="30"/>
      <c r="Q1157" s="30"/>
    </row>
    <row r="1158" spans="1:17" ht="36">
      <c r="A1158" s="152" t="s">
        <v>444</v>
      </c>
      <c r="B1158" s="147" t="s">
        <v>912</v>
      </c>
      <c r="C1158" s="147" t="s">
        <v>881</v>
      </c>
      <c r="D1158" s="158">
        <f>10000-10000</f>
        <v>0</v>
      </c>
      <c r="P1158" s="30"/>
      <c r="Q1158" s="30"/>
    </row>
    <row r="1159" spans="1:17" ht="15">
      <c r="A1159" s="238" t="s">
        <v>2</v>
      </c>
      <c r="B1159" s="235"/>
      <c r="C1159" s="235"/>
      <c r="D1159" s="227">
        <f>D19+D119+D290+D419+D479+D493+D531+D627+D672+D760+D798+D1030+D1075+D1117+D1129</f>
        <v>7376450.199999999</v>
      </c>
      <c r="P1159" s="30"/>
      <c r="Q1159" s="30"/>
    </row>
    <row r="1160" spans="1:17" ht="15">
      <c r="A1160" s="239" t="s">
        <v>85</v>
      </c>
      <c r="B1160" s="150"/>
      <c r="C1160" s="150"/>
      <c r="D1160" s="158"/>
      <c r="P1160" s="30"/>
      <c r="Q1160" s="30"/>
    </row>
    <row r="1161" spans="1:17" ht="24">
      <c r="A1161" s="260" t="s">
        <v>277</v>
      </c>
      <c r="B1161" s="147" t="s">
        <v>677</v>
      </c>
      <c r="C1161" s="147"/>
      <c r="D1161" s="158">
        <f>D1162+D1164</f>
        <v>44354.9</v>
      </c>
      <c r="P1161" s="30"/>
      <c r="Q1161" s="30"/>
    </row>
    <row r="1162" spans="1:17" ht="15">
      <c r="A1162" s="152" t="s">
        <v>484</v>
      </c>
      <c r="B1162" s="147" t="s">
        <v>677</v>
      </c>
      <c r="C1162" s="147" t="s">
        <v>1168</v>
      </c>
      <c r="D1162" s="158">
        <f>D1163</f>
        <v>4354.900000000001</v>
      </c>
      <c r="P1162" s="30"/>
      <c r="Q1162" s="30"/>
    </row>
    <row r="1163" spans="1:17" ht="15">
      <c r="A1163" s="157" t="s">
        <v>696</v>
      </c>
      <c r="B1163" s="147" t="s">
        <v>677</v>
      </c>
      <c r="C1163" s="147" t="s">
        <v>349</v>
      </c>
      <c r="D1163" s="158">
        <f>42620-20000-8195-8840.8-230-491.2-508.1</f>
        <v>4354.900000000001</v>
      </c>
      <c r="P1163" s="30"/>
      <c r="Q1163" s="30"/>
    </row>
    <row r="1164" spans="1:17" ht="15">
      <c r="A1164" s="153" t="s">
        <v>985</v>
      </c>
      <c r="B1164" s="147" t="s">
        <v>677</v>
      </c>
      <c r="C1164" s="147" t="s">
        <v>986</v>
      </c>
      <c r="D1164" s="158">
        <f>D1165</f>
        <v>40000</v>
      </c>
      <c r="P1164" s="30"/>
      <c r="Q1164" s="30"/>
    </row>
    <row r="1165" spans="1:17" ht="36">
      <c r="A1165" s="157" t="s">
        <v>563</v>
      </c>
      <c r="B1165" s="147" t="s">
        <v>677</v>
      </c>
      <c r="C1165" s="147" t="s">
        <v>441</v>
      </c>
      <c r="D1165" s="158">
        <f>157380-47000+20000-90380</f>
        <v>40000</v>
      </c>
      <c r="P1165" s="30"/>
      <c r="Q1165" s="30"/>
    </row>
    <row r="1166" spans="1:17" ht="26.25" customHeight="1">
      <c r="A1166" s="239" t="s">
        <v>29</v>
      </c>
      <c r="B1166" s="147" t="s">
        <v>585</v>
      </c>
      <c r="C1166" s="147"/>
      <c r="D1166" s="158">
        <f>D1167</f>
        <v>3212.6</v>
      </c>
      <c r="P1166" s="30"/>
      <c r="Q1166" s="30"/>
    </row>
    <row r="1167" spans="1:17" ht="48">
      <c r="A1167" s="153" t="s">
        <v>1065</v>
      </c>
      <c r="B1167" s="147" t="s">
        <v>585</v>
      </c>
      <c r="C1167" s="147" t="s">
        <v>960</v>
      </c>
      <c r="D1167" s="158">
        <f>D1168</f>
        <v>3212.6</v>
      </c>
      <c r="P1167" s="30"/>
      <c r="Q1167" s="30"/>
    </row>
    <row r="1168" spans="1:17" ht="24">
      <c r="A1168" s="153" t="s">
        <v>515</v>
      </c>
      <c r="B1168" s="147" t="s">
        <v>585</v>
      </c>
      <c r="C1168" s="147" t="s">
        <v>115</v>
      </c>
      <c r="D1168" s="158">
        <f>2985.4-1698.5+1313+165.7+447</f>
        <v>3212.6</v>
      </c>
      <c r="P1168" s="30"/>
      <c r="Q1168" s="30"/>
    </row>
    <row r="1169" spans="1:17" ht="15">
      <c r="A1169" s="162" t="s">
        <v>635</v>
      </c>
      <c r="B1169" s="147" t="s">
        <v>586</v>
      </c>
      <c r="C1169" s="147"/>
      <c r="D1169" s="158">
        <f>D1170+D1172+D1174</f>
        <v>9900.300000000001</v>
      </c>
      <c r="P1169" s="30"/>
      <c r="Q1169" s="30"/>
    </row>
    <row r="1170" spans="1:17" ht="48">
      <c r="A1170" s="153" t="s">
        <v>1065</v>
      </c>
      <c r="B1170" s="147" t="s">
        <v>586</v>
      </c>
      <c r="C1170" s="147" t="s">
        <v>960</v>
      </c>
      <c r="D1170" s="158">
        <f>D1171</f>
        <v>9547.6</v>
      </c>
      <c r="P1170" s="30"/>
      <c r="Q1170" s="30"/>
    </row>
    <row r="1171" spans="1:17" ht="24">
      <c r="A1171" s="153" t="s">
        <v>515</v>
      </c>
      <c r="B1171" s="147" t="s">
        <v>586</v>
      </c>
      <c r="C1171" s="147" t="s">
        <v>115</v>
      </c>
      <c r="D1171" s="158">
        <v>9547.6</v>
      </c>
      <c r="P1171" s="30"/>
      <c r="Q1171" s="30"/>
    </row>
    <row r="1172" spans="1:17" ht="24">
      <c r="A1172" s="153" t="s">
        <v>1066</v>
      </c>
      <c r="B1172" s="147" t="s">
        <v>586</v>
      </c>
      <c r="C1172" s="147" t="s">
        <v>529</v>
      </c>
      <c r="D1172" s="158">
        <f>D1173</f>
        <v>230.7</v>
      </c>
      <c r="P1172" s="30"/>
      <c r="Q1172" s="30"/>
    </row>
    <row r="1173" spans="1:17" ht="15">
      <c r="A1173" s="153" t="s">
        <v>974</v>
      </c>
      <c r="B1173" s="147" t="s">
        <v>586</v>
      </c>
      <c r="C1173" s="147" t="s">
        <v>429</v>
      </c>
      <c r="D1173" s="158">
        <f>330.7-100</f>
        <v>230.7</v>
      </c>
      <c r="P1173" s="30"/>
      <c r="Q1173" s="30"/>
    </row>
    <row r="1174" spans="1:17" ht="15">
      <c r="A1174" s="153" t="s">
        <v>985</v>
      </c>
      <c r="B1174" s="147" t="s">
        <v>586</v>
      </c>
      <c r="C1174" s="147" t="s">
        <v>986</v>
      </c>
      <c r="D1174" s="158">
        <f>D1175</f>
        <v>122</v>
      </c>
      <c r="P1174" s="30"/>
      <c r="Q1174" s="30"/>
    </row>
    <row r="1175" spans="1:17" ht="15">
      <c r="A1175" s="153" t="s">
        <v>459</v>
      </c>
      <c r="B1175" s="147" t="s">
        <v>586</v>
      </c>
      <c r="C1175" s="147" t="s">
        <v>460</v>
      </c>
      <c r="D1175" s="158">
        <v>122</v>
      </c>
      <c r="P1175" s="30"/>
      <c r="Q1175" s="30"/>
    </row>
    <row r="1176" spans="1:17" ht="15">
      <c r="A1176" s="162" t="s">
        <v>1056</v>
      </c>
      <c r="B1176" s="147" t="s">
        <v>587</v>
      </c>
      <c r="C1176" s="147"/>
      <c r="D1176" s="158">
        <f>D1177+D1179</f>
        <v>5086.6</v>
      </c>
      <c r="P1176" s="30"/>
      <c r="Q1176" s="30"/>
    </row>
    <row r="1177" spans="1:17" ht="48">
      <c r="A1177" s="153" t="s">
        <v>1065</v>
      </c>
      <c r="B1177" s="147" t="s">
        <v>587</v>
      </c>
      <c r="C1177" s="147" t="s">
        <v>960</v>
      </c>
      <c r="D1177" s="158">
        <f>D1178</f>
        <v>4943.1</v>
      </c>
      <c r="P1177" s="30"/>
      <c r="Q1177" s="30"/>
    </row>
    <row r="1178" spans="1:17" ht="24">
      <c r="A1178" s="153" t="s">
        <v>515</v>
      </c>
      <c r="B1178" s="147" t="s">
        <v>587</v>
      </c>
      <c r="C1178" s="147" t="s">
        <v>115</v>
      </c>
      <c r="D1178" s="158">
        <f>4943.1</f>
        <v>4943.1</v>
      </c>
      <c r="P1178" s="30"/>
      <c r="Q1178" s="30"/>
    </row>
    <row r="1179" spans="1:17" ht="24">
      <c r="A1179" s="153" t="s">
        <v>1066</v>
      </c>
      <c r="B1179" s="147" t="s">
        <v>587</v>
      </c>
      <c r="C1179" s="147" t="s">
        <v>529</v>
      </c>
      <c r="D1179" s="158">
        <f>D1180</f>
        <v>143.5</v>
      </c>
      <c r="P1179" s="30"/>
      <c r="Q1179" s="30"/>
    </row>
    <row r="1180" spans="1:17" ht="15">
      <c r="A1180" s="153" t="s">
        <v>974</v>
      </c>
      <c r="B1180" s="147" t="s">
        <v>587</v>
      </c>
      <c r="C1180" s="147" t="s">
        <v>429</v>
      </c>
      <c r="D1180" s="158">
        <f>143.5</f>
        <v>143.5</v>
      </c>
      <c r="P1180" s="30"/>
      <c r="Q1180" s="30"/>
    </row>
    <row r="1181" spans="1:17" ht="69">
      <c r="A1181" s="239" t="s">
        <v>445</v>
      </c>
      <c r="B1181" s="147" t="s">
        <v>734</v>
      </c>
      <c r="C1181" s="147"/>
      <c r="D1181" s="158">
        <f>D1182+D1184</f>
        <v>4369</v>
      </c>
      <c r="P1181" s="30"/>
      <c r="Q1181" s="30"/>
    </row>
    <row r="1182" spans="1:17" ht="48">
      <c r="A1182" s="153" t="s">
        <v>1065</v>
      </c>
      <c r="B1182" s="147" t="s">
        <v>734</v>
      </c>
      <c r="C1182" s="147" t="s">
        <v>960</v>
      </c>
      <c r="D1182" s="158">
        <f>D1183</f>
        <v>4369</v>
      </c>
      <c r="P1182" s="30"/>
      <c r="Q1182" s="30"/>
    </row>
    <row r="1183" spans="1:17" ht="24">
      <c r="A1183" s="153" t="s">
        <v>515</v>
      </c>
      <c r="B1183" s="147" t="s">
        <v>734</v>
      </c>
      <c r="C1183" s="147" t="s">
        <v>115</v>
      </c>
      <c r="D1183" s="158">
        <f>3495+874</f>
        <v>4369</v>
      </c>
      <c r="P1183" s="30"/>
      <c r="Q1183" s="30"/>
    </row>
    <row r="1184" spans="1:17" ht="24">
      <c r="A1184" s="153" t="s">
        <v>1066</v>
      </c>
      <c r="B1184" s="147" t="s">
        <v>734</v>
      </c>
      <c r="C1184" s="147" t="s">
        <v>529</v>
      </c>
      <c r="D1184" s="158">
        <f>D1185</f>
        <v>0</v>
      </c>
      <c r="P1184" s="30"/>
      <c r="Q1184" s="30"/>
    </row>
    <row r="1185" spans="1:17" ht="15">
      <c r="A1185" s="153" t="s">
        <v>591</v>
      </c>
      <c r="B1185" s="147" t="s">
        <v>734</v>
      </c>
      <c r="C1185" s="147" t="s">
        <v>429</v>
      </c>
      <c r="D1185" s="158"/>
      <c r="P1185" s="30"/>
      <c r="Q1185" s="30"/>
    </row>
    <row r="1186" spans="1:17" ht="24">
      <c r="A1186" s="312" t="s">
        <v>1541</v>
      </c>
      <c r="B1186" s="147" t="s">
        <v>1542</v>
      </c>
      <c r="C1186" s="147"/>
      <c r="D1186" s="158">
        <f>D1187</f>
        <v>0</v>
      </c>
      <c r="P1186" s="30"/>
      <c r="Q1186" s="30"/>
    </row>
    <row r="1187" spans="1:17" ht="48">
      <c r="A1187" s="153" t="s">
        <v>1065</v>
      </c>
      <c r="B1187" s="147" t="s">
        <v>1542</v>
      </c>
      <c r="C1187" s="147" t="s">
        <v>960</v>
      </c>
      <c r="D1187" s="158">
        <f>D1188</f>
        <v>0</v>
      </c>
      <c r="P1187" s="30"/>
      <c r="Q1187" s="30"/>
    </row>
    <row r="1188" spans="1:17" ht="24">
      <c r="A1188" s="153" t="s">
        <v>515</v>
      </c>
      <c r="B1188" s="147" t="s">
        <v>1542</v>
      </c>
      <c r="C1188" s="147" t="s">
        <v>115</v>
      </c>
      <c r="D1188" s="158">
        <f>10486-10486</f>
        <v>0</v>
      </c>
      <c r="P1188" s="30"/>
      <c r="Q1188" s="30"/>
    </row>
    <row r="1189" spans="1:17" ht="33.75">
      <c r="A1189" s="162" t="s">
        <v>683</v>
      </c>
      <c r="B1189" s="147" t="s">
        <v>678</v>
      </c>
      <c r="C1189" s="147"/>
      <c r="D1189" s="158">
        <f>D1190</f>
        <v>333236</v>
      </c>
      <c r="P1189" s="30"/>
      <c r="Q1189" s="30"/>
    </row>
    <row r="1190" spans="1:17" ht="15">
      <c r="A1190" s="152" t="s">
        <v>487</v>
      </c>
      <c r="B1190" s="147" t="s">
        <v>678</v>
      </c>
      <c r="C1190" s="147" t="s">
        <v>485</v>
      </c>
      <c r="D1190" s="158">
        <f>D1191</f>
        <v>333236</v>
      </c>
      <c r="P1190" s="30"/>
      <c r="Q1190" s="30"/>
    </row>
    <row r="1191" spans="1:17" ht="15">
      <c r="A1191" s="152" t="s">
        <v>488</v>
      </c>
      <c r="B1191" s="147" t="s">
        <v>678</v>
      </c>
      <c r="C1191" s="147" t="s">
        <v>486</v>
      </c>
      <c r="D1191" s="158">
        <v>333236</v>
      </c>
      <c r="P1191" s="30"/>
      <c r="Q1191" s="30"/>
    </row>
    <row r="1192" spans="1:17" ht="24">
      <c r="A1192" s="239" t="s">
        <v>1078</v>
      </c>
      <c r="B1192" s="147" t="s">
        <v>1079</v>
      </c>
      <c r="C1192" s="147"/>
      <c r="D1192" s="158">
        <f>D1193+D1195</f>
        <v>29258</v>
      </c>
      <c r="P1192" s="30"/>
      <c r="Q1192" s="30"/>
    </row>
    <row r="1193" spans="1:17" ht="24">
      <c r="A1193" s="153" t="s">
        <v>1066</v>
      </c>
      <c r="B1193" s="147" t="s">
        <v>1079</v>
      </c>
      <c r="C1193" s="147" t="s">
        <v>529</v>
      </c>
      <c r="D1193" s="158">
        <f>D1194</f>
        <v>3850</v>
      </c>
      <c r="P1193" s="30"/>
      <c r="Q1193" s="30"/>
    </row>
    <row r="1194" spans="1:17" ht="15">
      <c r="A1194" s="153" t="s">
        <v>591</v>
      </c>
      <c r="B1194" s="147" t="s">
        <v>1079</v>
      </c>
      <c r="C1194" s="147" t="s">
        <v>429</v>
      </c>
      <c r="D1194" s="158">
        <f>3000+850</f>
        <v>3850</v>
      </c>
      <c r="P1194" s="30"/>
      <c r="Q1194" s="30"/>
    </row>
    <row r="1195" spans="1:17" ht="24">
      <c r="A1195" s="152" t="s">
        <v>490</v>
      </c>
      <c r="B1195" s="147" t="s">
        <v>1079</v>
      </c>
      <c r="C1195" s="147" t="s">
        <v>489</v>
      </c>
      <c r="D1195" s="158">
        <f>D1196+D1197</f>
        <v>25408</v>
      </c>
      <c r="P1195" s="30"/>
      <c r="Q1195" s="30"/>
    </row>
    <row r="1196" spans="1:17" ht="15">
      <c r="A1196" s="157" t="s">
        <v>491</v>
      </c>
      <c r="B1196" s="147" t="s">
        <v>1079</v>
      </c>
      <c r="C1196" s="147" t="s">
        <v>574</v>
      </c>
      <c r="D1196" s="158">
        <f>500+1220+5200+11500</f>
        <v>18420</v>
      </c>
      <c r="P1196" s="30"/>
      <c r="Q1196" s="30"/>
    </row>
    <row r="1197" spans="1:17" ht="15">
      <c r="A1197" s="157" t="s">
        <v>1125</v>
      </c>
      <c r="B1197" s="147" t="s">
        <v>1079</v>
      </c>
      <c r="C1197" s="147" t="s">
        <v>1126</v>
      </c>
      <c r="D1197" s="158">
        <f>6488+500</f>
        <v>6988</v>
      </c>
      <c r="P1197" s="30"/>
      <c r="Q1197" s="30"/>
    </row>
    <row r="1198" spans="1:17" ht="15">
      <c r="A1198" s="214" t="s">
        <v>801</v>
      </c>
      <c r="B1198" s="150"/>
      <c r="C1198" s="150"/>
      <c r="D1198" s="240">
        <f>D1161+D1166+D1169+D1176+D1181+D1186+D1189+D1192</f>
        <v>429417.4</v>
      </c>
      <c r="P1198" s="30"/>
      <c r="Q1198" s="30"/>
    </row>
    <row r="1199" spans="1:17" ht="15">
      <c r="A1199" s="241" t="s">
        <v>182</v>
      </c>
      <c r="B1199" s="150"/>
      <c r="C1199" s="150"/>
      <c r="D1199" s="240">
        <f>D1159+D1198</f>
        <v>7805867.6</v>
      </c>
      <c r="P1199" s="30"/>
      <c r="Q1199" s="30"/>
    </row>
    <row r="1200" spans="1:17" ht="15">
      <c r="A1200" s="152"/>
      <c r="B1200" s="150"/>
      <c r="C1200" s="150"/>
      <c r="D1200" s="158"/>
      <c r="P1200" s="30"/>
      <c r="Q1200" s="30"/>
    </row>
    <row r="1201" spans="1:17" ht="15">
      <c r="A1201" s="153"/>
      <c r="B1201" s="150"/>
      <c r="C1201" s="150"/>
      <c r="D1201" s="158"/>
      <c r="P1201" s="30"/>
      <c r="Q1201" s="30"/>
    </row>
    <row r="1202" spans="1:17" ht="15">
      <c r="A1202" s="152"/>
      <c r="B1202" s="150"/>
      <c r="C1202" s="150"/>
      <c r="D1202" s="158"/>
      <c r="P1202" s="30"/>
      <c r="Q1202" s="30"/>
    </row>
    <row r="1203" spans="1:17" ht="15">
      <c r="A1203" s="153"/>
      <c r="B1203" s="150"/>
      <c r="C1203" s="150"/>
      <c r="D1203" s="158"/>
      <c r="P1203" s="30"/>
      <c r="Q1203" s="30"/>
    </row>
    <row r="1204" spans="1:17" ht="15">
      <c r="A1204" s="153"/>
      <c r="B1204" s="150"/>
      <c r="C1204" s="150"/>
      <c r="D1204" s="158"/>
      <c r="E1204" s="273">
        <v>7542322.1</v>
      </c>
      <c r="F1204" s="32">
        <f>D1199-E1204</f>
        <v>263545.5</v>
      </c>
      <c r="P1204" s="30"/>
      <c r="Q1204" s="30"/>
    </row>
    <row r="1205" spans="1:17" ht="15">
      <c r="A1205" s="153"/>
      <c r="B1205" s="150"/>
      <c r="C1205" s="150"/>
      <c r="D1205" s="158"/>
      <c r="P1205" s="30"/>
      <c r="Q1205" s="30"/>
    </row>
    <row r="1206" spans="1:17" ht="15">
      <c r="A1206" s="152"/>
      <c r="B1206" s="150"/>
      <c r="C1206" s="150"/>
      <c r="D1206" s="158"/>
      <c r="P1206" s="30"/>
      <c r="Q1206" s="30"/>
    </row>
    <row r="1207" spans="1:17" ht="15">
      <c r="A1207" s="153"/>
      <c r="B1207" s="150"/>
      <c r="C1207" s="150"/>
      <c r="D1207" s="158"/>
      <c r="P1207" s="30"/>
      <c r="Q1207" s="30"/>
    </row>
    <row r="1208" spans="1:17" ht="15">
      <c r="A1208" s="152"/>
      <c r="B1208" s="150"/>
      <c r="C1208" s="150"/>
      <c r="D1208" s="158"/>
      <c r="P1208" s="30"/>
      <c r="Q1208" s="30"/>
    </row>
    <row r="1209" spans="1:17" ht="15">
      <c r="A1209" s="153"/>
      <c r="B1209" s="150"/>
      <c r="C1209" s="150"/>
      <c r="D1209" s="158"/>
      <c r="P1209" s="30"/>
      <c r="Q1209" s="30"/>
    </row>
    <row r="1210" spans="1:17" ht="15">
      <c r="A1210" s="152"/>
      <c r="B1210" s="150"/>
      <c r="C1210" s="150"/>
      <c r="D1210" s="158"/>
      <c r="P1210" s="30"/>
      <c r="Q1210" s="30"/>
    </row>
    <row r="1211" spans="1:17" ht="15">
      <c r="A1211" s="153"/>
      <c r="B1211" s="150"/>
      <c r="C1211" s="150"/>
      <c r="D1211" s="158"/>
      <c r="P1211" s="30"/>
      <c r="Q1211" s="30"/>
    </row>
    <row r="1212" spans="1:17" ht="15">
      <c r="A1212" s="153"/>
      <c r="B1212" s="147"/>
      <c r="C1212" s="147"/>
      <c r="D1212" s="158"/>
      <c r="P1212" s="30"/>
      <c r="Q1212" s="30"/>
    </row>
    <row r="1213" spans="1:17" ht="15">
      <c r="A1213" s="153"/>
      <c r="B1213" s="147"/>
      <c r="C1213" s="147"/>
      <c r="D1213" s="158"/>
      <c r="P1213" s="30"/>
      <c r="Q1213" s="30"/>
    </row>
    <row r="1214" spans="1:17" ht="15">
      <c r="A1214" s="153"/>
      <c r="B1214" s="147"/>
      <c r="C1214" s="147"/>
      <c r="D1214" s="158"/>
      <c r="P1214" s="30"/>
      <c r="Q1214" s="30"/>
    </row>
    <row r="1215" spans="1:17" ht="15">
      <c r="A1215" s="153"/>
      <c r="B1215" s="147"/>
      <c r="C1215" s="147"/>
      <c r="D1215" s="158"/>
      <c r="P1215" s="30"/>
      <c r="Q1215" s="30"/>
    </row>
    <row r="1216" spans="1:17" ht="15">
      <c r="A1216" s="153"/>
      <c r="B1216" s="147"/>
      <c r="C1216" s="147"/>
      <c r="D1216" s="158"/>
      <c r="P1216" s="30"/>
      <c r="Q1216" s="30"/>
    </row>
    <row r="1217" spans="1:17" ht="15">
      <c r="A1217" s="153"/>
      <c r="B1217" s="147"/>
      <c r="C1217" s="147"/>
      <c r="D1217" s="158"/>
      <c r="P1217" s="30"/>
      <c r="Q1217" s="30"/>
    </row>
    <row r="1218" spans="1:17" ht="15">
      <c r="A1218" s="152"/>
      <c r="B1218" s="147"/>
      <c r="C1218" s="147"/>
      <c r="D1218" s="158"/>
      <c r="P1218" s="30"/>
      <c r="Q1218" s="30"/>
    </row>
    <row r="1219" spans="1:17" ht="15">
      <c r="A1219" s="152"/>
      <c r="B1219" s="147"/>
      <c r="C1219" s="147"/>
      <c r="D1219" s="158"/>
      <c r="P1219" s="30"/>
      <c r="Q1219" s="30"/>
    </row>
    <row r="1220" spans="1:17" ht="15">
      <c r="A1220" s="152"/>
      <c r="B1220" s="147"/>
      <c r="C1220" s="147"/>
      <c r="D1220" s="158"/>
      <c r="P1220" s="30"/>
      <c r="Q1220" s="30"/>
    </row>
    <row r="1221" spans="1:17" ht="15">
      <c r="A1221" s="214"/>
      <c r="B1221" s="150"/>
      <c r="C1221" s="150"/>
      <c r="D1221" s="240"/>
      <c r="P1221" s="30"/>
      <c r="Q1221" s="30"/>
    </row>
    <row r="1222" spans="1:17" ht="15">
      <c r="A1222" s="241"/>
      <c r="B1222" s="242"/>
      <c r="C1222" s="242"/>
      <c r="D1222" s="240"/>
      <c r="P1222" s="30"/>
      <c r="Q1222" s="30"/>
    </row>
    <row r="1223" spans="1:17" ht="15">
      <c r="A1223" s="243"/>
      <c r="B1223" s="242"/>
      <c r="C1223" s="242"/>
      <c r="D1223" s="244"/>
      <c r="P1223" s="30"/>
      <c r="Q1223" s="30"/>
    </row>
    <row r="1224" spans="1:17" ht="15">
      <c r="A1224" s="243"/>
      <c r="B1224" s="242"/>
      <c r="C1224" s="242"/>
      <c r="D1224" s="154"/>
      <c r="P1224" s="30"/>
      <c r="Q1224" s="30"/>
    </row>
    <row r="1225" spans="16:17" ht="15">
      <c r="P1225" s="30"/>
      <c r="Q1225" s="30"/>
    </row>
    <row r="1226" spans="16:17" ht="15">
      <c r="P1226" s="30"/>
      <c r="Q1226" s="30"/>
    </row>
    <row r="1227" spans="16:17" ht="15">
      <c r="P1227" s="30"/>
      <c r="Q1227" s="30"/>
    </row>
    <row r="1228" spans="16:17" ht="15">
      <c r="P1228" s="30"/>
      <c r="Q1228" s="30"/>
    </row>
    <row r="1229" spans="16:17" ht="15">
      <c r="P1229" s="30"/>
      <c r="Q1229" s="30"/>
    </row>
    <row r="1394" ht="23.25" customHeight="1"/>
    <row r="1396" ht="16.5" customHeight="1"/>
  </sheetData>
  <sheetProtection/>
  <mergeCells count="2">
    <mergeCell ref="A12:D12"/>
    <mergeCell ref="A13:D16"/>
  </mergeCells>
  <printOptions/>
  <pageMargins left="0.7480314960629921" right="0.7480314960629921" top="0.6692913385826772" bottom="0.5118110236220472" header="0.5118110236220472" footer="0.5118110236220472"/>
  <pageSetup firstPageNumber="90" useFirstPageNumber="1" fitToHeight="34" fitToWidth="1" horizontalDpi="600" verticalDpi="600" orientation="portrait" paperSize="9" scale="91"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6"/>
  <sheetViews>
    <sheetView showGridLines="0" showZeros="0" view="pageBreakPreview" zoomScale="115" zoomScaleSheetLayoutView="115" workbookViewId="0" topLeftCell="A15">
      <selection activeCell="C21" sqref="C21"/>
    </sheetView>
  </sheetViews>
  <sheetFormatPr defaultColWidth="38.875" defaultRowHeight="12.75"/>
  <cols>
    <col min="1" max="1" width="26.50390625" style="16" customWidth="1"/>
    <col min="2" max="2" width="52.875" style="16" customWidth="1"/>
    <col min="3" max="3" width="30.50390625" style="35" customWidth="1"/>
    <col min="4" max="16384" width="38.875" style="16" customWidth="1"/>
  </cols>
  <sheetData>
    <row r="1" ht="12.75" hidden="1">
      <c r="C1" s="82"/>
    </row>
    <row r="2" ht="12.75" hidden="1">
      <c r="C2" s="28"/>
    </row>
    <row r="3" spans="3:6" ht="12.75" hidden="1">
      <c r="C3" s="34"/>
      <c r="F3" s="16" t="s">
        <v>822</v>
      </c>
    </row>
    <row r="4" ht="12.75" hidden="1">
      <c r="C4" s="34"/>
    </row>
    <row r="5" ht="12.75" hidden="1">
      <c r="C5" s="28" t="s">
        <v>81</v>
      </c>
    </row>
    <row r="6" ht="12.75" hidden="1">
      <c r="C6" s="28" t="s">
        <v>31</v>
      </c>
    </row>
    <row r="7" ht="12.75" hidden="1">
      <c r="C7" s="34" t="s">
        <v>657</v>
      </c>
    </row>
    <row r="8" ht="18" customHeight="1" hidden="1">
      <c r="B8" s="83"/>
    </row>
    <row r="9" spans="2:3" ht="18" customHeight="1" hidden="1">
      <c r="B9" s="84"/>
      <c r="C9" s="9"/>
    </row>
    <row r="10" spans="2:3" ht="18" customHeight="1" hidden="1">
      <c r="B10" s="84"/>
      <c r="C10" s="9"/>
    </row>
    <row r="11" spans="2:3" ht="18" customHeight="1" hidden="1">
      <c r="B11" s="85"/>
      <c r="C11" s="41"/>
    </row>
    <row r="12" spans="2:3" ht="18" customHeight="1" hidden="1">
      <c r="B12" s="85"/>
      <c r="C12" s="9" t="s">
        <v>98</v>
      </c>
    </row>
    <row r="13" spans="2:3" ht="18" customHeight="1" hidden="1">
      <c r="B13" s="85"/>
      <c r="C13" s="9" t="s">
        <v>31</v>
      </c>
    </row>
    <row r="14" spans="2:3" ht="18" customHeight="1" hidden="1">
      <c r="B14" s="85"/>
      <c r="C14" s="41" t="s">
        <v>799</v>
      </c>
    </row>
    <row r="15" spans="2:3" ht="12.75">
      <c r="B15" s="85"/>
      <c r="C15" s="81" t="s">
        <v>1359</v>
      </c>
    </row>
    <row r="16" spans="2:3" ht="12.75">
      <c r="B16" s="85"/>
      <c r="C16" s="9" t="s">
        <v>31</v>
      </c>
    </row>
    <row r="17" spans="2:3" ht="12.75">
      <c r="B17" s="85"/>
      <c r="C17" s="41" t="s">
        <v>1818</v>
      </c>
    </row>
    <row r="18" spans="2:3" ht="12.75">
      <c r="B18" s="85"/>
      <c r="C18" s="41"/>
    </row>
    <row r="19" spans="2:4" ht="12.75" customHeight="1">
      <c r="B19" s="83"/>
      <c r="C19" s="81" t="s">
        <v>98</v>
      </c>
      <c r="D19" s="103"/>
    </row>
    <row r="20" spans="2:4" ht="13.5" customHeight="1">
      <c r="B20" s="84"/>
      <c r="C20" s="9" t="s">
        <v>31</v>
      </c>
      <c r="D20" s="7"/>
    </row>
    <row r="21" spans="2:4" ht="13.5" customHeight="1">
      <c r="B21" s="84"/>
      <c r="C21" s="41" t="s">
        <v>1819</v>
      </c>
      <c r="D21" s="7"/>
    </row>
    <row r="22" spans="2:4" ht="13.5" customHeight="1">
      <c r="B22" s="84"/>
      <c r="C22" s="9"/>
      <c r="D22" s="7"/>
    </row>
    <row r="23" spans="2:4" ht="13.5" customHeight="1">
      <c r="B23" s="84"/>
      <c r="C23" s="81"/>
      <c r="D23" s="7"/>
    </row>
    <row r="24" spans="2:3" ht="15.75" customHeight="1">
      <c r="B24" s="91"/>
      <c r="C24" s="42"/>
    </row>
    <row r="25" spans="1:3" ht="15.75" customHeight="1">
      <c r="A25" s="2"/>
      <c r="B25" s="5"/>
      <c r="C25" s="62"/>
    </row>
    <row r="26" spans="1:3" ht="18" customHeight="1">
      <c r="A26" s="2"/>
      <c r="B26" s="5"/>
      <c r="C26" s="62"/>
    </row>
    <row r="27" spans="1:3" ht="15.75">
      <c r="A27" s="358" t="s">
        <v>1121</v>
      </c>
      <c r="B27" s="358"/>
      <c r="C27" s="358"/>
    </row>
    <row r="28" spans="1:3" ht="15.75">
      <c r="A28" s="358" t="s">
        <v>1341</v>
      </c>
      <c r="B28" s="358"/>
      <c r="C28" s="358"/>
    </row>
    <row r="29" spans="1:3" ht="33" customHeight="1">
      <c r="A29" s="67"/>
      <c r="C29" s="40" t="s">
        <v>32</v>
      </c>
    </row>
    <row r="30" spans="1:3" ht="37.5" customHeight="1">
      <c r="A30" s="359" t="s">
        <v>89</v>
      </c>
      <c r="B30" s="361" t="s">
        <v>550</v>
      </c>
      <c r="C30" s="363" t="s">
        <v>548</v>
      </c>
    </row>
    <row r="31" spans="1:3" ht="13.5" customHeight="1">
      <c r="A31" s="360"/>
      <c r="B31" s="362"/>
      <c r="C31" s="364"/>
    </row>
    <row r="32" spans="1:3" ht="18.75" customHeight="1">
      <c r="A32" s="365" t="s">
        <v>861</v>
      </c>
      <c r="B32" s="366"/>
      <c r="C32" s="109">
        <f>'Прил. 1 Доходы 2017'!C203-'Прил. 2 Функциональная 2017'!F21</f>
        <v>-880445.9000000004</v>
      </c>
    </row>
    <row r="33" spans="1:3" ht="18.75" customHeight="1">
      <c r="A33" s="354" t="s">
        <v>374</v>
      </c>
      <c r="B33" s="355"/>
      <c r="C33" s="110">
        <f>(-C32-C50-C72)/'Прил. 1 Доходы 2017'!C15*100</f>
        <v>8.31935548536446</v>
      </c>
    </row>
    <row r="34" spans="1:3" ht="18" customHeight="1">
      <c r="A34" s="356" t="s">
        <v>375</v>
      </c>
      <c r="B34" s="357"/>
      <c r="C34" s="1">
        <f>C35+C40+C45+C50+C72</f>
        <v>880445.9000000006</v>
      </c>
    </row>
    <row r="35" spans="1:3" ht="27" customHeight="1" hidden="1">
      <c r="A35" s="71" t="s">
        <v>649</v>
      </c>
      <c r="B35" s="45" t="s">
        <v>650</v>
      </c>
      <c r="C35" s="74">
        <f>C36-C38</f>
        <v>0</v>
      </c>
    </row>
    <row r="36" spans="1:3" ht="40.5" customHeight="1" hidden="1">
      <c r="A36" s="73" t="s">
        <v>651</v>
      </c>
      <c r="B36" s="46" t="s">
        <v>652</v>
      </c>
      <c r="C36" s="74">
        <f>C37</f>
        <v>0</v>
      </c>
    </row>
    <row r="37" spans="1:3" ht="39.75" customHeight="1" hidden="1">
      <c r="A37" s="73" t="s">
        <v>653</v>
      </c>
      <c r="B37" s="47" t="s">
        <v>654</v>
      </c>
      <c r="C37" s="75"/>
    </row>
    <row r="38" spans="1:3" ht="38.25" customHeight="1" hidden="1">
      <c r="A38" s="73" t="s">
        <v>655</v>
      </c>
      <c r="B38" s="52" t="s">
        <v>656</v>
      </c>
      <c r="C38" s="72">
        <f>C39</f>
        <v>0</v>
      </c>
    </row>
    <row r="39" spans="1:3" ht="36.75" customHeight="1" hidden="1">
      <c r="A39" s="73" t="s">
        <v>928</v>
      </c>
      <c r="B39" s="48" t="s">
        <v>1045</v>
      </c>
      <c r="C39" s="76"/>
    </row>
    <row r="40" spans="1:3" ht="27" customHeight="1">
      <c r="A40" s="71" t="s">
        <v>545</v>
      </c>
      <c r="B40" s="45" t="s">
        <v>481</v>
      </c>
      <c r="C40" s="74">
        <f>C41+C44</f>
        <v>323000</v>
      </c>
    </row>
    <row r="41" spans="1:3" ht="27.75" customHeight="1">
      <c r="A41" s="73" t="s">
        <v>499</v>
      </c>
      <c r="B41" s="46" t="s">
        <v>1201</v>
      </c>
      <c r="C41" s="74">
        <f>C42</f>
        <v>323000</v>
      </c>
    </row>
    <row r="42" spans="1:3" ht="25.5">
      <c r="A42" s="73" t="s">
        <v>500</v>
      </c>
      <c r="B42" s="47" t="s">
        <v>198</v>
      </c>
      <c r="C42" s="75">
        <v>323000</v>
      </c>
    </row>
    <row r="43" spans="1:3" ht="25.5">
      <c r="A43" s="73" t="s">
        <v>199</v>
      </c>
      <c r="B43" s="52" t="s">
        <v>200</v>
      </c>
      <c r="C43" s="72">
        <f>C44</f>
        <v>0</v>
      </c>
    </row>
    <row r="44" spans="1:3" ht="29.25" customHeight="1">
      <c r="A44" s="73" t="s">
        <v>480</v>
      </c>
      <c r="B44" s="48" t="s">
        <v>1075</v>
      </c>
      <c r="C44" s="76">
        <v>0</v>
      </c>
    </row>
    <row r="45" spans="1:3" s="27" customFormat="1" ht="34.5" customHeight="1" hidden="1">
      <c r="A45" s="77" t="s">
        <v>1076</v>
      </c>
      <c r="B45" s="49" t="s">
        <v>1202</v>
      </c>
      <c r="C45" s="72">
        <f>C46-C48</f>
        <v>0</v>
      </c>
    </row>
    <row r="46" spans="1:3" ht="39" hidden="1">
      <c r="A46" s="73" t="s">
        <v>1046</v>
      </c>
      <c r="B46" s="50" t="s">
        <v>1047</v>
      </c>
      <c r="C46" s="72">
        <f>C47</f>
        <v>0</v>
      </c>
    </row>
    <row r="47" spans="1:3" ht="39" hidden="1">
      <c r="A47" s="73" t="s">
        <v>1048</v>
      </c>
      <c r="B47" s="51" t="s">
        <v>982</v>
      </c>
      <c r="C47" s="76"/>
    </row>
    <row r="48" spans="1:3" ht="39" hidden="1">
      <c r="A48" s="73" t="s">
        <v>992</v>
      </c>
      <c r="B48" s="52" t="s">
        <v>596</v>
      </c>
      <c r="C48" s="72">
        <f>C49</f>
        <v>0</v>
      </c>
    </row>
    <row r="49" spans="1:3" ht="39" hidden="1">
      <c r="A49" s="73" t="s">
        <v>993</v>
      </c>
      <c r="B49" s="47" t="s">
        <v>416</v>
      </c>
      <c r="C49" s="76"/>
    </row>
    <row r="50" spans="1:3" s="27" customFormat="1" ht="25.5">
      <c r="A50" s="77" t="s">
        <v>417</v>
      </c>
      <c r="B50" s="45" t="s">
        <v>523</v>
      </c>
      <c r="C50" s="78">
        <f>C61+C67+C56-C51</f>
        <v>466439.10000000056</v>
      </c>
    </row>
    <row r="51" spans="1:3" ht="15" hidden="1">
      <c r="A51" s="79" t="s">
        <v>872</v>
      </c>
      <c r="B51" s="50" t="s">
        <v>873</v>
      </c>
      <c r="C51" s="78">
        <f>C52+C54</f>
        <v>0</v>
      </c>
    </row>
    <row r="52" spans="1:3" ht="33" customHeight="1" hidden="1">
      <c r="A52" s="79" t="s">
        <v>874</v>
      </c>
      <c r="B52" s="51" t="s">
        <v>875</v>
      </c>
      <c r="C52" s="78">
        <f>C53</f>
        <v>0</v>
      </c>
    </row>
    <row r="53" spans="1:3" ht="27.75" customHeight="1" hidden="1">
      <c r="A53" s="79" t="s">
        <v>876</v>
      </c>
      <c r="B53" s="51" t="s">
        <v>877</v>
      </c>
      <c r="C53" s="111"/>
    </row>
    <row r="54" spans="1:3" ht="25.5" customHeight="1" hidden="1">
      <c r="A54" s="79" t="s">
        <v>878</v>
      </c>
      <c r="B54" s="51" t="s">
        <v>879</v>
      </c>
      <c r="C54" s="78">
        <f>C55</f>
        <v>0</v>
      </c>
    </row>
    <row r="55" spans="1:3" ht="26.25" hidden="1">
      <c r="A55" s="79" t="s">
        <v>880</v>
      </c>
      <c r="B55" s="51" t="s">
        <v>1094</v>
      </c>
      <c r="C55" s="78"/>
    </row>
    <row r="56" spans="1:3" ht="15">
      <c r="A56" s="79" t="s">
        <v>524</v>
      </c>
      <c r="B56" s="50" t="s">
        <v>71</v>
      </c>
      <c r="C56" s="78">
        <f>C57+C59</f>
        <v>-7339428.5</v>
      </c>
    </row>
    <row r="57" spans="1:3" ht="15">
      <c r="A57" s="79" t="s">
        <v>21</v>
      </c>
      <c r="B57" s="51" t="s">
        <v>568</v>
      </c>
      <c r="C57" s="78">
        <f>C58</f>
        <v>-7339428.5</v>
      </c>
    </row>
    <row r="58" spans="1:3" ht="26.25">
      <c r="A58" s="79" t="s">
        <v>22</v>
      </c>
      <c r="B58" s="51" t="s">
        <v>1095</v>
      </c>
      <c r="C58" s="75">
        <f>-('Прил. 1 Доходы 2017'!C203+'Прил. 5 Источники_2017'!C42+C77)</f>
        <v>-7339428.5</v>
      </c>
    </row>
    <row r="59" spans="1:3" ht="26.25" hidden="1">
      <c r="A59" s="79" t="s">
        <v>1096</v>
      </c>
      <c r="B59" s="51" t="s">
        <v>1097</v>
      </c>
      <c r="C59" s="78">
        <f>C60</f>
        <v>0</v>
      </c>
    </row>
    <row r="60" spans="1:3" ht="27" customHeight="1" hidden="1">
      <c r="A60" s="79" t="s">
        <v>1098</v>
      </c>
      <c r="B60" s="51" t="s">
        <v>1099</v>
      </c>
      <c r="C60" s="78"/>
    </row>
    <row r="61" spans="1:3" ht="15" hidden="1">
      <c r="A61" s="79" t="s">
        <v>599</v>
      </c>
      <c r="B61" s="50" t="s">
        <v>600</v>
      </c>
      <c r="C61" s="78"/>
    </row>
    <row r="62" spans="1:3" ht="15" hidden="1">
      <c r="A62" s="79" t="s">
        <v>601</v>
      </c>
      <c r="B62" s="51" t="s">
        <v>602</v>
      </c>
      <c r="C62" s="78">
        <f>C63+C65</f>
        <v>0</v>
      </c>
    </row>
    <row r="63" spans="1:3" ht="30.75" customHeight="1" hidden="1">
      <c r="A63" s="79" t="s">
        <v>603</v>
      </c>
      <c r="B63" s="51" t="s">
        <v>575</v>
      </c>
      <c r="C63" s="111">
        <f>C64</f>
        <v>0</v>
      </c>
    </row>
    <row r="64" spans="1:3" ht="25.5" customHeight="1" hidden="1">
      <c r="A64" s="79" t="s">
        <v>576</v>
      </c>
      <c r="B64" s="51" t="s">
        <v>577</v>
      </c>
      <c r="C64" s="78"/>
    </row>
    <row r="65" spans="1:3" ht="18" customHeight="1" hidden="1">
      <c r="A65" s="79" t="s">
        <v>578</v>
      </c>
      <c r="B65" s="51" t="s">
        <v>159</v>
      </c>
      <c r="C65" s="78">
        <f>C66</f>
        <v>0</v>
      </c>
    </row>
    <row r="66" spans="1:3" ht="18.75" customHeight="1" hidden="1">
      <c r="A66" s="79" t="s">
        <v>160</v>
      </c>
      <c r="B66" s="51" t="s">
        <v>569</v>
      </c>
      <c r="C66" s="78"/>
    </row>
    <row r="67" spans="1:3" ht="24" customHeight="1">
      <c r="A67" s="79" t="s">
        <v>23</v>
      </c>
      <c r="B67" s="50" t="s">
        <v>699</v>
      </c>
      <c r="C67" s="78">
        <f>C68+C70</f>
        <v>7805867.600000001</v>
      </c>
    </row>
    <row r="68" spans="1:3" ht="15">
      <c r="A68" s="79" t="s">
        <v>795</v>
      </c>
      <c r="B68" s="51" t="s">
        <v>709</v>
      </c>
      <c r="C68" s="78">
        <f>C69</f>
        <v>7805867.600000001</v>
      </c>
    </row>
    <row r="69" spans="1:3" ht="27.75" customHeight="1">
      <c r="A69" s="112" t="s">
        <v>68</v>
      </c>
      <c r="B69" s="113" t="s">
        <v>710</v>
      </c>
      <c r="C69" s="245">
        <f>'Прил. 2 Функциональная 2017'!F21</f>
        <v>7805867.600000001</v>
      </c>
    </row>
    <row r="70" spans="1:3" ht="27.75" customHeight="1">
      <c r="A70" s="108" t="s">
        <v>711</v>
      </c>
      <c r="B70" s="88" t="s">
        <v>712</v>
      </c>
      <c r="C70" s="80">
        <f>C71</f>
        <v>0</v>
      </c>
    </row>
    <row r="71" spans="1:3" ht="27.75" customHeight="1">
      <c r="A71" s="79" t="s">
        <v>713</v>
      </c>
      <c r="B71" s="51" t="s">
        <v>714</v>
      </c>
      <c r="C71" s="80"/>
    </row>
    <row r="72" spans="1:3" ht="26.25">
      <c r="A72" s="68" t="s">
        <v>69</v>
      </c>
      <c r="B72" s="69" t="s">
        <v>923</v>
      </c>
      <c r="C72" s="70">
        <f>C75</f>
        <v>91006.8</v>
      </c>
    </row>
    <row r="73" spans="1:3" ht="39">
      <c r="A73" s="87" t="s">
        <v>715</v>
      </c>
      <c r="B73" s="88" t="s">
        <v>1001</v>
      </c>
      <c r="C73" s="70"/>
    </row>
    <row r="74" spans="1:3" ht="39">
      <c r="A74" s="87" t="s">
        <v>864</v>
      </c>
      <c r="B74" s="88" t="s">
        <v>865</v>
      </c>
      <c r="C74" s="70"/>
    </row>
    <row r="75" spans="1:3" ht="26.25">
      <c r="A75" s="55" t="s">
        <v>868</v>
      </c>
      <c r="B75" s="49" t="s">
        <v>629</v>
      </c>
      <c r="C75" s="36">
        <f>C76</f>
        <v>91006.8</v>
      </c>
    </row>
    <row r="76" spans="1:3" ht="39">
      <c r="A76" s="54" t="s">
        <v>1117</v>
      </c>
      <c r="B76" s="50" t="s">
        <v>564</v>
      </c>
      <c r="C76" s="36">
        <f>C77</f>
        <v>91006.8</v>
      </c>
    </row>
    <row r="77" spans="1:3" ht="26.25">
      <c r="A77" s="54" t="s">
        <v>866</v>
      </c>
      <c r="B77" s="56" t="s">
        <v>565</v>
      </c>
      <c r="C77" s="37">
        <f>506.8+90500</f>
        <v>91006.8</v>
      </c>
    </row>
    <row r="78" spans="1:3" ht="15" hidden="1">
      <c r="A78" s="55" t="s">
        <v>1130</v>
      </c>
      <c r="B78" s="49" t="s">
        <v>1149</v>
      </c>
      <c r="C78" s="36">
        <f>C79</f>
        <v>0</v>
      </c>
    </row>
    <row r="79" spans="1:3" ht="26.25" hidden="1">
      <c r="A79" s="54" t="s">
        <v>165</v>
      </c>
      <c r="B79" s="50" t="s">
        <v>20</v>
      </c>
      <c r="C79" s="36">
        <f>C80</f>
        <v>0</v>
      </c>
    </row>
    <row r="80" spans="1:3" ht="81" customHeight="1" hidden="1">
      <c r="A80" s="53" t="s">
        <v>166</v>
      </c>
      <c r="B80" s="51" t="s">
        <v>167</v>
      </c>
      <c r="C80" s="36">
        <f>C81</f>
        <v>0</v>
      </c>
    </row>
    <row r="81" spans="1:3" ht="66" hidden="1">
      <c r="A81" s="53" t="s">
        <v>168</v>
      </c>
      <c r="B81" s="51" t="s">
        <v>976</v>
      </c>
      <c r="C81" s="37"/>
    </row>
    <row r="82" spans="1:3" s="27" customFormat="1" ht="26.25" hidden="1">
      <c r="A82" s="44" t="s">
        <v>1146</v>
      </c>
      <c r="B82" s="57" t="s">
        <v>694</v>
      </c>
      <c r="C82" s="38">
        <f>C83-C85</f>
        <v>0</v>
      </c>
    </row>
    <row r="83" spans="1:3" ht="26.25" hidden="1">
      <c r="A83" s="53" t="s">
        <v>695</v>
      </c>
      <c r="B83" s="58" t="s">
        <v>497</v>
      </c>
      <c r="C83" s="89">
        <f>C84</f>
        <v>0</v>
      </c>
    </row>
    <row r="84" spans="1:3" ht="39" hidden="1">
      <c r="A84" s="53" t="s">
        <v>446</v>
      </c>
      <c r="B84" s="59" t="s">
        <v>1155</v>
      </c>
      <c r="C84" s="90"/>
    </row>
    <row r="85" spans="1:3" ht="26.25" hidden="1">
      <c r="A85" s="53" t="s">
        <v>447</v>
      </c>
      <c r="B85" s="58" t="s">
        <v>305</v>
      </c>
      <c r="C85" s="90">
        <f>C86</f>
        <v>0</v>
      </c>
    </row>
    <row r="86" spans="1:3" ht="27" customHeight="1" hidden="1">
      <c r="A86" s="53" t="s">
        <v>867</v>
      </c>
      <c r="B86" s="59" t="s">
        <v>95</v>
      </c>
      <c r="C86" s="90"/>
    </row>
    <row r="87" spans="1:3" ht="26.25" hidden="1">
      <c r="A87" s="44" t="s">
        <v>439</v>
      </c>
      <c r="B87" s="60" t="s">
        <v>403</v>
      </c>
      <c r="C87" s="29"/>
    </row>
    <row r="88" spans="1:3" ht="25.5" customHeight="1" hidden="1">
      <c r="A88" s="53" t="s">
        <v>96</v>
      </c>
      <c r="B88" s="50" t="s">
        <v>964</v>
      </c>
      <c r="C88" s="29"/>
    </row>
    <row r="89" spans="1:3" ht="26.25" hidden="1">
      <c r="A89" s="53" t="s">
        <v>882</v>
      </c>
      <c r="B89" s="51" t="s">
        <v>883</v>
      </c>
      <c r="C89" s="29"/>
    </row>
    <row r="90" spans="1:3" ht="26.25" hidden="1">
      <c r="A90" s="53" t="s">
        <v>884</v>
      </c>
      <c r="B90" s="51" t="s">
        <v>883</v>
      </c>
      <c r="C90" s="29"/>
    </row>
    <row r="91" spans="1:3" ht="26.25" hidden="1">
      <c r="A91" s="53" t="s">
        <v>885</v>
      </c>
      <c r="B91" s="50" t="s">
        <v>886</v>
      </c>
      <c r="C91" s="29"/>
    </row>
    <row r="92" spans="1:3" ht="26.25" hidden="1">
      <c r="A92" s="53" t="s">
        <v>887</v>
      </c>
      <c r="B92" s="51" t="s">
        <v>888</v>
      </c>
      <c r="C92" s="246"/>
    </row>
    <row r="93" spans="1:3" ht="26.25" hidden="1">
      <c r="A93" s="53" t="s">
        <v>889</v>
      </c>
      <c r="B93" s="51" t="s">
        <v>888</v>
      </c>
      <c r="C93" s="246"/>
    </row>
    <row r="94" spans="1:3" ht="26.25" hidden="1">
      <c r="A94" s="53" t="s">
        <v>969</v>
      </c>
      <c r="B94" s="51" t="s">
        <v>553</v>
      </c>
      <c r="C94" s="246"/>
    </row>
    <row r="95" spans="1:3" ht="26.25" hidden="1">
      <c r="A95" s="53" t="s">
        <v>554</v>
      </c>
      <c r="B95" s="51" t="s">
        <v>890</v>
      </c>
      <c r="C95" s="246"/>
    </row>
    <row r="96" spans="1:3" ht="26.25" hidden="1">
      <c r="A96" s="53" t="s">
        <v>1171</v>
      </c>
      <c r="B96" s="51" t="s">
        <v>373</v>
      </c>
      <c r="C96" s="246"/>
    </row>
    <row r="97" spans="1:3" ht="29.25" customHeight="1" hidden="1">
      <c r="A97" s="53" t="s">
        <v>170</v>
      </c>
      <c r="B97" s="51" t="s">
        <v>1135</v>
      </c>
      <c r="C97" s="246"/>
    </row>
    <row r="98" spans="1:3" ht="26.25" hidden="1">
      <c r="A98" s="53" t="s">
        <v>1136</v>
      </c>
      <c r="B98" s="50" t="s">
        <v>1137</v>
      </c>
      <c r="C98" s="246"/>
    </row>
    <row r="99" spans="1:3" ht="66" hidden="1">
      <c r="A99" s="53" t="s">
        <v>1138</v>
      </c>
      <c r="B99" s="51" t="s">
        <v>0</v>
      </c>
      <c r="C99" s="246"/>
    </row>
    <row r="100" spans="1:2" ht="78.75" hidden="1">
      <c r="A100" s="53" t="s">
        <v>1</v>
      </c>
      <c r="B100" s="51" t="s">
        <v>465</v>
      </c>
    </row>
    <row r="101" spans="1:3" ht="39" hidden="1">
      <c r="A101" s="53" t="s">
        <v>466</v>
      </c>
      <c r="B101" s="51" t="s">
        <v>467</v>
      </c>
      <c r="C101" s="35">
        <f>C102</f>
        <v>0</v>
      </c>
    </row>
    <row r="102" spans="1:2" ht="52.5" hidden="1">
      <c r="A102" s="53" t="s">
        <v>468</v>
      </c>
      <c r="B102" s="51" t="s">
        <v>1054</v>
      </c>
    </row>
    <row r="103" spans="1:3" ht="66" hidden="1">
      <c r="A103" s="53" t="s">
        <v>1055</v>
      </c>
      <c r="B103" s="51" t="s">
        <v>92</v>
      </c>
      <c r="C103" s="35">
        <f>C104</f>
        <v>0</v>
      </c>
    </row>
    <row r="104" spans="1:2" ht="78.75" hidden="1">
      <c r="A104" s="53" t="s">
        <v>93</v>
      </c>
      <c r="B104" s="51" t="s">
        <v>99</v>
      </c>
    </row>
    <row r="105" spans="1:2" ht="39" hidden="1">
      <c r="A105" s="53" t="s">
        <v>100</v>
      </c>
      <c r="B105" s="51" t="s">
        <v>101</v>
      </c>
    </row>
    <row r="106" spans="1:2" ht="52.5" hidden="1">
      <c r="A106" s="53" t="s">
        <v>102</v>
      </c>
      <c r="B106" s="51" t="s">
        <v>343</v>
      </c>
    </row>
    <row r="125" ht="19.5" customHeight="1"/>
    <row r="127" ht="18.75" customHeight="1"/>
    <row r="174" ht="21" customHeight="1"/>
    <row r="180" ht="18.75" customHeight="1"/>
    <row r="181" ht="55.5" customHeight="1"/>
    <row r="183" ht="24" customHeight="1"/>
    <row r="184" ht="18.75" customHeight="1"/>
    <row r="186" ht="14.25" customHeight="1"/>
    <row r="187" ht="16.5" customHeight="1"/>
    <row r="191" ht="18" customHeight="1"/>
    <row r="192" ht="23.25" customHeight="1"/>
    <row r="225" ht="40.5" customHeight="1"/>
    <row r="227" ht="29.25" customHeight="1"/>
    <row r="228" ht="18.75" customHeight="1"/>
    <row r="229" ht="24" customHeight="1"/>
    <row r="230" ht="17.25" customHeight="1"/>
    <row r="231" ht="21" customHeight="1"/>
    <row r="232" ht="17.25" customHeight="1"/>
    <row r="233" ht="38.25" customHeight="1"/>
    <row r="234" ht="25.5" customHeight="1"/>
    <row r="236" ht="25.5" customHeight="1"/>
    <row r="237" ht="19.5" customHeight="1"/>
    <row r="238" ht="24" customHeight="1"/>
    <row r="239" ht="57" customHeight="1"/>
    <row r="241" ht="26.25" customHeight="1"/>
    <row r="242" ht="21.75" customHeight="1"/>
    <row r="243" ht="24" customHeight="1"/>
    <row r="244" ht="66" customHeight="1"/>
    <row r="246" ht="26.25" customHeight="1"/>
    <row r="247" ht="24" customHeight="1"/>
    <row r="248" ht="18.75" customHeight="1"/>
    <row r="249" ht="22.5" customHeight="1"/>
    <row r="250" ht="15" customHeight="1"/>
    <row r="251" ht="31.5" customHeight="1"/>
    <row r="253" ht="18.75" customHeight="1"/>
    <row r="257" ht="22.5" customHeight="1"/>
    <row r="258" ht="18" customHeight="1"/>
    <row r="259" ht="21.75" customHeight="1"/>
    <row r="274" ht="28.5" customHeight="1"/>
    <row r="278" ht="18.75" customHeight="1"/>
    <row r="279" ht="18.75" customHeight="1"/>
    <row r="280" ht="28.5" customHeight="1"/>
    <row r="281" ht="20.25" customHeight="1"/>
    <row r="282" ht="20.25" customHeight="1"/>
    <row r="285" ht="31.5" customHeight="1"/>
    <row r="325" ht="19.5" customHeight="1"/>
    <row r="328" ht="19.5" customHeight="1"/>
    <row r="329" ht="21.75" customHeight="1"/>
    <row r="330" ht="24" customHeight="1"/>
    <row r="333" ht="27.75" customHeight="1"/>
    <row r="334" ht="27.75" customHeight="1"/>
    <row r="335" ht="19.5" customHeight="1"/>
    <row r="336" ht="29.25" customHeight="1"/>
    <row r="338" ht="18.75" customHeight="1"/>
    <row r="339" ht="21.75" customHeight="1"/>
    <row r="340" ht="18.75" customHeight="1"/>
    <row r="342" ht="23.25" customHeight="1"/>
    <row r="344" ht="35.25" customHeight="1"/>
    <row r="345" ht="23.25" customHeight="1"/>
    <row r="346" ht="24" customHeight="1"/>
    <row r="347" ht="24" customHeight="1"/>
    <row r="348" ht="24.75" customHeight="1"/>
    <row r="350" ht="54" customHeight="1"/>
    <row r="351" ht="24" customHeight="1"/>
    <row r="352" ht="20.25" customHeight="1"/>
    <row r="354" ht="25.5" customHeight="1"/>
    <row r="355" ht="18.75" customHeight="1"/>
    <row r="359" ht="29.25" customHeight="1"/>
    <row r="360" ht="17.25" customHeight="1"/>
    <row r="362" ht="26.25" customHeight="1"/>
    <row r="363" ht="19.5" customHeight="1"/>
    <row r="365" ht="18.75" customHeight="1"/>
    <row r="366" ht="16.5" customHeight="1"/>
    <row r="367" ht="22.5" customHeight="1"/>
    <row r="371" ht="18" customHeight="1"/>
    <row r="373" ht="18" customHeight="1"/>
    <row r="375" ht="39.75" customHeight="1"/>
    <row r="377" ht="20.25" customHeight="1"/>
    <row r="379" ht="21.75" customHeight="1"/>
    <row r="388" ht="19.5" customHeight="1"/>
    <row r="391" ht="20.25" customHeight="1"/>
    <row r="393" ht="20.25" customHeight="1"/>
    <row r="394" ht="35.25" customHeight="1"/>
    <row r="395" ht="18" customHeight="1"/>
    <row r="403" ht="27" customHeight="1"/>
    <row r="404" ht="24" customHeight="1"/>
    <row r="406" ht="22.5" customHeight="1"/>
    <row r="408" ht="26.25" customHeight="1"/>
    <row r="413" ht="24" customHeight="1"/>
    <row r="417" ht="21" customHeight="1"/>
    <row r="421" ht="26.25" customHeight="1"/>
    <row r="423" ht="27.75" customHeight="1"/>
    <row r="424" ht="21.75" customHeight="1"/>
    <row r="429" ht="21.75" customHeight="1"/>
    <row r="430" ht="22.5" customHeight="1"/>
    <row r="433" ht="23.25" customHeight="1"/>
    <row r="434" ht="16.5" customHeight="1"/>
    <row r="437" ht="18.75" customHeight="1"/>
    <row r="440" ht="20.25" customHeight="1"/>
    <row r="453" ht="21" customHeight="1"/>
    <row r="460" ht="25.5" customHeight="1"/>
    <row r="461" ht="18" customHeight="1"/>
    <row r="462" ht="29.25" customHeight="1"/>
    <row r="463" ht="21" customHeight="1"/>
    <row r="466" ht="24" customHeight="1"/>
    <row r="470" ht="18" customHeight="1"/>
    <row r="471" ht="19.5" customHeight="1"/>
    <row r="478" ht="26.25" customHeight="1"/>
    <row r="482" ht="33" customHeight="1"/>
    <row r="485" ht="21.75" customHeight="1"/>
    <row r="486" ht="30.75" customHeight="1"/>
    <row r="487" ht="20.25" customHeight="1"/>
    <row r="490" ht="33.75" customHeight="1"/>
    <row r="493" ht="21" customHeight="1"/>
    <row r="495" ht="18.75" customHeight="1"/>
    <row r="498" ht="20.25" customHeight="1"/>
    <row r="518" ht="21.75" customHeight="1"/>
    <row r="651" ht="23.25" customHeight="1"/>
    <row r="653" ht="16.5" customHeight="1"/>
  </sheetData>
  <sheetProtection selectLockedCells="1" selectUnlockedCells="1"/>
  <mergeCells count="8">
    <mergeCell ref="A33:B33"/>
    <mergeCell ref="A34:B34"/>
    <mergeCell ref="A27:C27"/>
    <mergeCell ref="A28:C28"/>
    <mergeCell ref="A30:A31"/>
    <mergeCell ref="B30:B31"/>
    <mergeCell ref="C30:C31"/>
    <mergeCell ref="A32:B32"/>
  </mergeCells>
  <printOptions/>
  <pageMargins left="0.7480314960629921" right="0.7480314960629921" top="0.6692913385826772" bottom="0.5118110236220472" header="0.5118110236220472" footer="0.5118110236220472"/>
  <pageSetup firstPageNumber="124" useFirstPageNumber="1" fitToHeight="1" fitToWidth="1" horizontalDpi="600" verticalDpi="600" orientation="portrait" paperSize="9" scale="80" r:id="rId3"/>
  <headerFooter alignWithMargins="0">
    <oddFooter>&amp;R&amp;P</oddFooter>
  </headerFooter>
  <rowBreaks count="1" manualBreakCount="1">
    <brk id="68"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2017-09-27T06:33:54Z</cp:lastPrinted>
  <dcterms:created xsi:type="dcterms:W3CDTF">2002-07-15T12:30:47Z</dcterms:created>
  <dcterms:modified xsi:type="dcterms:W3CDTF">2017-09-28T14:59:24Z</dcterms:modified>
  <cp:category/>
  <cp:version/>
  <cp:contentType/>
  <cp:contentStatus/>
</cp:coreProperties>
</file>